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2" documentId="8_{DE2FDD22-AADC-4C41-8621-A8A075D24499}" xr6:coauthVersionLast="47" xr6:coauthVersionMax="47" xr10:uidLastSave="{A32257D3-57B8-48EF-A540-8FBEC9B86286}"/>
  <workbookProtection workbookAlgorithmName="SHA-512" workbookHashValue="uIVK0twHmCSwl+vqersHmd/ZPY9WEl3tCXTwYaDQqcKdHlWYfzOyAufUi3zaVq45Xg2aIo8rSKtaEcUFeB7EOA==" workbookSaltValue="nbYjW7vkVsZIfsFpcejzzA==" workbookSpinCount="100000" lockStructure="1"/>
  <bookViews>
    <workbookView xWindow="-108" yWindow="-108" windowWidth="23256" windowHeight="13896" xr2:uid="{AFD781ED-6370-499F-B679-6827AD4E67DF}"/>
  </bookViews>
  <sheets>
    <sheet name="Vendas Acima de €30M Liga PT" sheetId="1" r:id="rId1"/>
  </sheets>
  <definedNames>
    <definedName name="_xlnm._FilterDatabase" localSheetId="0" hidden="1">'Vendas Acima de €30M Liga PT'!$B$3:$X$49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48" i="1" l="1"/>
  <c r="W46" i="1"/>
  <c r="W45" i="1"/>
  <c r="W43" i="1"/>
  <c r="W42" i="1"/>
  <c r="W41" i="1"/>
  <c r="W40" i="1"/>
  <c r="W39" i="1"/>
  <c r="W37" i="1"/>
  <c r="W36" i="1"/>
  <c r="W34" i="1"/>
  <c r="W33" i="1"/>
  <c r="W32" i="1"/>
  <c r="W31" i="1"/>
  <c r="W44" i="1"/>
  <c r="W30" i="1"/>
  <c r="W49" i="1"/>
  <c r="W47" i="1"/>
  <c r="W38" i="1"/>
  <c r="W29" i="1"/>
  <c r="W35" i="1"/>
  <c r="W28" i="1"/>
  <c r="W27" i="1"/>
  <c r="W26" i="1"/>
  <c r="W25" i="1"/>
  <c r="W24" i="1"/>
  <c r="W23" i="1"/>
  <c r="W21" i="1"/>
  <c r="W22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" i="1"/>
  <c r="N4" i="1"/>
  <c r="W4" i="1"/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6" i="1"/>
  <c r="X47" i="1"/>
  <c r="X48" i="1"/>
  <c r="X49" i="1"/>
  <c r="X4" i="1"/>
  <c r="X45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4" i="1"/>
  <c r="R27" i="1"/>
  <c r="Q27" i="1"/>
  <c r="P27" i="1"/>
  <c r="O27" i="1"/>
  <c r="O28" i="1"/>
  <c r="P28" i="1"/>
  <c r="Q28" i="1"/>
  <c r="R28" i="1"/>
  <c r="O29" i="1"/>
  <c r="P29" i="1"/>
  <c r="Q29" i="1"/>
  <c r="R29" i="1"/>
  <c r="O30" i="1"/>
  <c r="P30" i="1"/>
  <c r="Q30" i="1"/>
  <c r="R30" i="1"/>
  <c r="O31" i="1"/>
  <c r="P31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O37" i="1"/>
  <c r="P37" i="1"/>
  <c r="Q37" i="1"/>
  <c r="R37" i="1"/>
  <c r="O38" i="1"/>
  <c r="P38" i="1"/>
  <c r="Q38" i="1"/>
  <c r="R38" i="1"/>
  <c r="O39" i="1"/>
  <c r="P39" i="1"/>
  <c r="Q39" i="1"/>
  <c r="R39" i="1"/>
  <c r="O40" i="1"/>
  <c r="P40" i="1"/>
  <c r="Q40" i="1"/>
  <c r="R40" i="1"/>
  <c r="O41" i="1"/>
  <c r="P41" i="1"/>
  <c r="Q41" i="1"/>
  <c r="R41" i="1"/>
  <c r="O42" i="1"/>
  <c r="P42" i="1"/>
  <c r="Q42" i="1"/>
  <c r="R42" i="1"/>
  <c r="O43" i="1"/>
  <c r="P43" i="1"/>
  <c r="Q43" i="1"/>
  <c r="R43" i="1"/>
  <c r="R24" i="1"/>
  <c r="Q24" i="1"/>
  <c r="P24" i="1"/>
  <c r="O24" i="1"/>
  <c r="O25" i="1"/>
  <c r="P25" i="1"/>
  <c r="Q25" i="1"/>
  <c r="R25" i="1"/>
  <c r="O26" i="1"/>
  <c r="P26" i="1"/>
  <c r="Q26" i="1"/>
  <c r="R26" i="1"/>
  <c r="O6" i="1"/>
  <c r="P6" i="1"/>
  <c r="Q6" i="1"/>
  <c r="R6" i="1"/>
  <c r="O7" i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44" i="1"/>
  <c r="P44" i="1"/>
  <c r="Q44" i="1"/>
  <c r="R44" i="1"/>
  <c r="O45" i="1"/>
  <c r="P45" i="1"/>
  <c r="Q45" i="1"/>
  <c r="R45" i="1"/>
  <c r="O46" i="1"/>
  <c r="P46" i="1"/>
  <c r="Q46" i="1"/>
  <c r="R46" i="1"/>
  <c r="O47" i="1"/>
  <c r="P47" i="1"/>
  <c r="Q47" i="1"/>
  <c r="R47" i="1"/>
  <c r="O48" i="1"/>
  <c r="P48" i="1"/>
  <c r="Q48" i="1"/>
  <c r="R48" i="1"/>
  <c r="O49" i="1"/>
  <c r="P49" i="1"/>
  <c r="Q49" i="1"/>
  <c r="R49" i="1"/>
  <c r="O5" i="1"/>
  <c r="P5" i="1"/>
  <c r="Q5" i="1"/>
  <c r="R5" i="1"/>
  <c r="P4" i="1"/>
  <c r="O4" i="1"/>
  <c r="Q4" i="1"/>
  <c r="R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V5" i="1" l="1"/>
  <c r="U5" i="1"/>
  <c r="V6" i="1"/>
  <c r="U6" i="1"/>
  <c r="V7" i="1"/>
  <c r="U7" i="1"/>
  <c r="V8" i="1"/>
  <c r="U8" i="1"/>
  <c r="V9" i="1"/>
  <c r="U9" i="1"/>
  <c r="V10" i="1"/>
  <c r="U10" i="1"/>
  <c r="V11" i="1"/>
  <c r="U11" i="1"/>
  <c r="V12" i="1"/>
  <c r="U12" i="1"/>
  <c r="V13" i="1"/>
  <c r="U13" i="1"/>
  <c r="V14" i="1"/>
  <c r="U14" i="1"/>
  <c r="V15" i="1"/>
  <c r="U15" i="1"/>
  <c r="V16" i="1"/>
  <c r="U16" i="1"/>
  <c r="V17" i="1"/>
  <c r="U17" i="1"/>
  <c r="V18" i="1"/>
  <c r="U18" i="1"/>
  <c r="V19" i="1"/>
  <c r="U19" i="1"/>
  <c r="V20" i="1"/>
  <c r="U20" i="1"/>
  <c r="V21" i="1"/>
  <c r="U21" i="1"/>
  <c r="V22" i="1"/>
  <c r="U22" i="1"/>
  <c r="V23" i="1"/>
  <c r="U23" i="1"/>
  <c r="V24" i="1"/>
  <c r="U24" i="1"/>
  <c r="V25" i="1"/>
  <c r="U25" i="1"/>
  <c r="V26" i="1"/>
  <c r="U26" i="1"/>
  <c r="V27" i="1"/>
  <c r="U27" i="1"/>
  <c r="V28" i="1"/>
  <c r="U28" i="1"/>
  <c r="V29" i="1"/>
  <c r="U29" i="1"/>
  <c r="V30" i="1"/>
  <c r="U30" i="1"/>
  <c r="V31" i="1"/>
  <c r="U31" i="1"/>
  <c r="V32" i="1"/>
  <c r="U32" i="1"/>
  <c r="V33" i="1"/>
  <c r="U33" i="1"/>
  <c r="V34" i="1"/>
  <c r="U34" i="1"/>
  <c r="V35" i="1"/>
  <c r="U35" i="1"/>
  <c r="V36" i="1"/>
  <c r="U36" i="1"/>
  <c r="V37" i="1"/>
  <c r="U37" i="1"/>
  <c r="V38" i="1"/>
  <c r="U38" i="1"/>
  <c r="V39" i="1"/>
  <c r="U39" i="1"/>
  <c r="V40" i="1"/>
  <c r="U40" i="1"/>
  <c r="V41" i="1"/>
  <c r="U41" i="1"/>
  <c r="V42" i="1"/>
  <c r="U42" i="1"/>
  <c r="V43" i="1"/>
  <c r="U43" i="1"/>
  <c r="V44" i="1"/>
  <c r="U44" i="1"/>
  <c r="V45" i="1"/>
  <c r="U45" i="1"/>
  <c r="V46" i="1"/>
  <c r="U46" i="1"/>
  <c r="V47" i="1"/>
  <c r="U47" i="1"/>
  <c r="V48" i="1"/>
  <c r="U48" i="1"/>
  <c r="V49" i="1"/>
  <c r="U49" i="1"/>
  <c r="V4" i="1"/>
  <c r="U4" i="1"/>
  <c r="S33" i="1"/>
  <c r="S25" i="1"/>
  <c r="S29" i="1"/>
  <c r="S36" i="1"/>
  <c r="S41" i="1"/>
  <c r="S38" i="1"/>
  <c r="S31" i="1"/>
  <c r="S32" i="1"/>
  <c r="S28" i="1"/>
  <c r="S39" i="1"/>
  <c r="S35" i="1"/>
  <c r="S43" i="1"/>
  <c r="S34" i="1"/>
  <c r="S42" i="1"/>
  <c r="S27" i="1"/>
  <c r="S4" i="1"/>
  <c r="S48" i="1"/>
  <c r="S47" i="1"/>
  <c r="S46" i="1"/>
  <c r="S45" i="1"/>
  <c r="S14" i="1"/>
  <c r="S23" i="1"/>
  <c r="S37" i="1"/>
  <c r="S30" i="1"/>
  <c r="S8" i="1"/>
  <c r="S6" i="1"/>
  <c r="S24" i="1"/>
  <c r="S40" i="1"/>
  <c r="S49" i="1"/>
  <c r="S26" i="1"/>
  <c r="S44" i="1"/>
  <c r="S13" i="1"/>
  <c r="S22" i="1"/>
  <c r="S21" i="1"/>
  <c r="S20" i="1"/>
  <c r="S19" i="1"/>
  <c r="S18" i="1"/>
  <c r="S17" i="1"/>
  <c r="S16" i="1"/>
  <c r="S15" i="1"/>
  <c r="S12" i="1"/>
  <c r="S11" i="1"/>
  <c r="S10" i="1"/>
  <c r="S9" i="1"/>
  <c r="S7" i="1"/>
  <c r="S5" i="1"/>
</calcChain>
</file>

<file path=xl/sharedStrings.xml><?xml version="1.0" encoding="utf-8"?>
<sst xmlns="http://schemas.openxmlformats.org/spreadsheetml/2006/main" count="316" uniqueCount="130">
  <si>
    <t>#</t>
  </si>
  <si>
    <t>Jogador</t>
  </si>
  <si>
    <t>Data de Nascimento</t>
  </si>
  <si>
    <t>Data de Venda</t>
  </si>
  <si>
    <t>Data de Chegada ao Clube (N/A se formado no Clube)</t>
  </si>
  <si>
    <t>Idade de Venda</t>
  </si>
  <si>
    <t>Clube Vendedor</t>
  </si>
  <si>
    <t>Clube Comprador</t>
  </si>
  <si>
    <t>País do Clube Comprador</t>
  </si>
  <si>
    <t>João Félix</t>
  </si>
  <si>
    <t>Benfica</t>
  </si>
  <si>
    <t>Atlético Madrid</t>
  </si>
  <si>
    <t>Espanha</t>
  </si>
  <si>
    <t>Enzo Fernández</t>
  </si>
  <si>
    <t>Chelsea</t>
  </si>
  <si>
    <t>Inglaterra</t>
  </si>
  <si>
    <t>Darwin Nuñez</t>
  </si>
  <si>
    <t>Liverpool</t>
  </si>
  <si>
    <t>Rúben Dias</t>
  </si>
  <si>
    <t>Manchester City</t>
  </si>
  <si>
    <t>Viktor Gyökeres</t>
  </si>
  <si>
    <t>Sporting</t>
  </si>
  <si>
    <t>Arsenal</t>
  </si>
  <si>
    <t>João Neves</t>
  </si>
  <si>
    <t>PSG</t>
  </si>
  <si>
    <t>França</t>
  </si>
  <si>
    <t>Gonçalo Ramos</t>
  </si>
  <si>
    <t>Bruno Fernandes</t>
  </si>
  <si>
    <t>Manchester United</t>
  </si>
  <si>
    <t>Nico González</t>
  </si>
  <si>
    <t>Porto</t>
  </si>
  <si>
    <t>Manuel Ugarte</t>
  </si>
  <si>
    <t>Otávio</t>
  </si>
  <si>
    <t>Al-Nassr</t>
  </si>
  <si>
    <t>Arábia Saudita</t>
  </si>
  <si>
    <t>Geovany Quenda</t>
  </si>
  <si>
    <t>Álvaro Carreras</t>
  </si>
  <si>
    <t>Real Madrid</t>
  </si>
  <si>
    <t>Galeno</t>
  </si>
  <si>
    <t>Al-Ahli</t>
  </si>
  <si>
    <t>Éder Militão</t>
  </si>
  <si>
    <t>Luis Díaz</t>
  </si>
  <si>
    <t>Matheus Nunes</t>
  </si>
  <si>
    <t>Wolves</t>
  </si>
  <si>
    <t>Eliaquim Mangala</t>
  </si>
  <si>
    <t>James Rodríguez</t>
  </si>
  <si>
    <t>Mónaco</t>
  </si>
  <si>
    <t>João Mário</t>
  </si>
  <si>
    <t>Inter</t>
  </si>
  <si>
    <t>Itália</t>
  </si>
  <si>
    <t>Vitinha</t>
  </si>
  <si>
    <t>Posição</t>
  </si>
  <si>
    <t>Segundo Avançado</t>
  </si>
  <si>
    <t>Médio Centro</t>
  </si>
  <si>
    <t>Ponta de Lança</t>
  </si>
  <si>
    <t>Defesa Central</t>
  </si>
  <si>
    <t>Médio Ofensivo</t>
  </si>
  <si>
    <t>Médio Defensivo</t>
  </si>
  <si>
    <t>Extremo Direito</t>
  </si>
  <si>
    <t>Lateral Esquerdo</t>
  </si>
  <si>
    <t>Extremo Esquerdo</t>
  </si>
  <si>
    <t>Marcos Leonardo</t>
  </si>
  <si>
    <t>Al-Hilal</t>
  </si>
  <si>
    <t>Pedro Porro</t>
  </si>
  <si>
    <t>Tottenham</t>
  </si>
  <si>
    <t>Lateral Direito</t>
  </si>
  <si>
    <t>Fábio Silva</t>
  </si>
  <si>
    <t>Ederson</t>
  </si>
  <si>
    <t>Guarda-Redes</t>
  </si>
  <si>
    <t>Hulk</t>
  </si>
  <si>
    <t>Zenit</t>
  </si>
  <si>
    <t>Rússia</t>
  </si>
  <si>
    <t>Axel Witsel</t>
  </si>
  <si>
    <t>Radamel Falcao</t>
  </si>
  <si>
    <t>Nuno Mendes</t>
  </si>
  <si>
    <t>Raúl Jimenez</t>
  </si>
  <si>
    <t>André Silva</t>
  </si>
  <si>
    <t>Milan</t>
  </si>
  <si>
    <t>Evanilson</t>
  </si>
  <si>
    <t>Bournemouth</t>
  </si>
  <si>
    <t>Nélson Semedo</t>
  </si>
  <si>
    <t>Barcelona</t>
  </si>
  <si>
    <t>Fábio Vieira</t>
  </si>
  <si>
    <t>Shoya Nakajima</t>
  </si>
  <si>
    <t>Portimonense</t>
  </si>
  <si>
    <t>Al-Duhail SC</t>
  </si>
  <si>
    <t>Qatar</t>
  </si>
  <si>
    <t>Victor Lindelöf</t>
  </si>
  <si>
    <t>Renato Sanches</t>
  </si>
  <si>
    <t>Bayern</t>
  </si>
  <si>
    <t>Alemanha</t>
  </si>
  <si>
    <t>Jackson Martínez</t>
  </si>
  <si>
    <t>Ángel Di María</t>
  </si>
  <si>
    <t>Francisco Conceição</t>
  </si>
  <si>
    <t>Juventus</t>
  </si>
  <si>
    <t>Roger Fernandes</t>
  </si>
  <si>
    <t>Braga</t>
  </si>
  <si>
    <t>Al-Ittihad</t>
  </si>
  <si>
    <t>Vitinha (Braga)</t>
  </si>
  <si>
    <t>Marselha</t>
  </si>
  <si>
    <t>Danilo</t>
  </si>
  <si>
    <t>Anderson</t>
  </si>
  <si>
    <t>Islam Slimani</t>
  </si>
  <si>
    <t>Leicester</t>
  </si>
  <si>
    <t>Francisco Trincão</t>
  </si>
  <si>
    <t>Valor de Venda (M€)</t>
  </si>
  <si>
    <t>N/A</t>
  </si>
  <si>
    <t>Tempo no Clube pré-Venda (Anos)</t>
  </si>
  <si>
    <t xml:space="preserve">Idade de Chegada ao Clube </t>
  </si>
  <si>
    <t>Idade de Chegada ao Clube (não arredondada)</t>
  </si>
  <si>
    <t>Idade de Venda (não arredondada)</t>
  </si>
  <si>
    <t>Nacionalidade (País)</t>
  </si>
  <si>
    <t>Portugal</t>
  </si>
  <si>
    <t>Argentina</t>
  </si>
  <si>
    <t>Uruguai</t>
  </si>
  <si>
    <t>Suécia</t>
  </si>
  <si>
    <t>Brasil</t>
  </si>
  <si>
    <t>Colômbia</t>
  </si>
  <si>
    <t>México</t>
  </si>
  <si>
    <t>Bélgica</t>
  </si>
  <si>
    <t>Japão</t>
  </si>
  <si>
    <t>Argélia</t>
  </si>
  <si>
    <t>Valor de Compra (M€)</t>
  </si>
  <si>
    <t>Lucro</t>
  </si>
  <si>
    <t>Minutos Jogados - Liga+Europa</t>
  </si>
  <si>
    <t>Minutos Jogados - Liga+Europa (Normalizados)</t>
  </si>
  <si>
    <t>Mês de Venda</t>
  </si>
  <si>
    <t xml:space="preserve"> </t>
  </si>
  <si>
    <t>Margem de Lucro</t>
  </si>
  <si>
    <t>Margem de Lucro (sem Formados no Clube e Custo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</si>
</sst>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&quot;M€&quot;"/>
    <numFmt numFmtId="165" formatCode="0.0\ &quot;M€&quot;"/>
    <numFmt numFmtId="166" formatCode="dd\-mm\-yyyy;@"/>
    <numFmt numFmtId="167" formatCode="0\ &quot;anos&quot;"/>
    <numFmt numFmtId="168" formatCode="0\ &quot;M€&quot;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8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8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4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A308-56EB-4C4E-BD07-F1690BE3052D}">
  <dimension ref="B3:AU51"/>
  <sheetViews>
    <sheetView tabSelected="1" zoomScale="22" zoomScaleNormal="65" workbookViewId="0">
      <selection activeCell="E16" sqref="E16"/>
    </sheetView>
  </sheetViews>
  <sheetFormatPr defaultRowHeight="14.4" x14ac:dyDescent="0.3"/>
  <cols>
    <col min="1" max="1" width="8.88671875" style="8"/>
    <col min="2" max="2" width="8.88671875" style="12"/>
    <col min="3" max="3" width="38.44140625" style="8" customWidth="1"/>
    <col min="4" max="5" width="32.109375" style="8" customWidth="1"/>
    <col min="6" max="7" width="27" style="8" customWidth="1"/>
    <col min="8" max="8" width="31.6640625" style="8" customWidth="1"/>
    <col min="9" max="9" width="27" style="8" customWidth="1"/>
    <col min="10" max="10" width="30" style="8" customWidth="1"/>
    <col min="11" max="14" width="24.33203125" style="10" customWidth="1"/>
    <col min="15" max="15" width="25.77734375" style="10" customWidth="1"/>
    <col min="16" max="23" width="24.33203125" style="10" customWidth="1"/>
    <col min="24" max="24" width="25.77734375" style="10" customWidth="1"/>
    <col min="25" max="26" width="8.88671875" style="8"/>
    <col min="27" max="27" width="65.109375" style="8" customWidth="1"/>
    <col min="28" max="28" width="23.21875" style="8" customWidth="1"/>
    <col min="29" max="36" width="8.88671875" style="8"/>
    <col min="48" max="48" width="37.33203125" style="8" customWidth="1"/>
    <col min="49" max="50" width="9.5546875" style="8" bestFit="1" customWidth="1"/>
    <col min="51" max="58" width="8.88671875" style="8"/>
    <col min="59" max="59" width="8.88671875" style="8" customWidth="1"/>
    <col min="60" max="16384" width="8.88671875" style="8"/>
  </cols>
  <sheetData>
    <row r="3" spans="2:29" s="1" customFormat="1" ht="53.4" customHeight="1" x14ac:dyDescent="0.3">
      <c r="B3" s="14" t="s">
        <v>0</v>
      </c>
      <c r="C3" s="14" t="s">
        <v>1</v>
      </c>
      <c r="D3" s="14" t="s">
        <v>111</v>
      </c>
      <c r="E3" s="14" t="s">
        <v>122</v>
      </c>
      <c r="F3" s="14" t="s">
        <v>105</v>
      </c>
      <c r="G3" s="14" t="s">
        <v>6</v>
      </c>
      <c r="H3" s="14" t="s">
        <v>7</v>
      </c>
      <c r="I3" s="14" t="s">
        <v>8</v>
      </c>
      <c r="J3" s="14" t="s">
        <v>51</v>
      </c>
      <c r="K3" s="14" t="s">
        <v>2</v>
      </c>
      <c r="L3" s="14" t="s">
        <v>4</v>
      </c>
      <c r="M3" s="14" t="s">
        <v>3</v>
      </c>
      <c r="N3" s="14" t="s">
        <v>126</v>
      </c>
      <c r="O3" s="14" t="s">
        <v>109</v>
      </c>
      <c r="P3" s="14" t="s">
        <v>108</v>
      </c>
      <c r="Q3" s="14" t="s">
        <v>110</v>
      </c>
      <c r="R3" s="14" t="s">
        <v>5</v>
      </c>
      <c r="S3" s="14" t="s">
        <v>107</v>
      </c>
      <c r="T3" s="15" t="s">
        <v>123</v>
      </c>
      <c r="U3" s="15" t="s">
        <v>128</v>
      </c>
      <c r="V3" s="15" t="s">
        <v>129</v>
      </c>
      <c r="W3" s="14" t="s">
        <v>124</v>
      </c>
      <c r="X3" s="14" t="s">
        <v>125</v>
      </c>
    </row>
    <row r="4" spans="2:29" ht="23.4" x14ac:dyDescent="0.3">
      <c r="B4" s="18">
        <v>1</v>
      </c>
      <c r="C4" s="2" t="s">
        <v>9</v>
      </c>
      <c r="D4" s="2" t="s">
        <v>112</v>
      </c>
      <c r="E4" s="11">
        <v>0</v>
      </c>
      <c r="F4" s="3">
        <v>127.2</v>
      </c>
      <c r="G4" s="4" t="s">
        <v>10</v>
      </c>
      <c r="H4" s="4" t="s">
        <v>11</v>
      </c>
      <c r="I4" s="4" t="s">
        <v>12</v>
      </c>
      <c r="J4" s="4" t="s">
        <v>52</v>
      </c>
      <c r="K4" s="5">
        <v>36474</v>
      </c>
      <c r="L4" s="5" t="s">
        <v>106</v>
      </c>
      <c r="M4" s="5">
        <v>43649</v>
      </c>
      <c r="N4" s="4">
        <f>MONTH(M4)</f>
        <v>7</v>
      </c>
      <c r="O4" s="6" t="str">
        <f>IFERROR(YEARFRAC(K4,L4),"Formado no Clube")</f>
        <v>Formado no Clube</v>
      </c>
      <c r="P4" s="7" t="str">
        <f>IFERROR(DATEDIF(K4,L4,"Y"),"Formado no Clube")</f>
        <v>Formado no Clube</v>
      </c>
      <c r="Q4" s="6">
        <f>YEARFRAC(K4,M4)</f>
        <v>19.647222222222222</v>
      </c>
      <c r="R4" s="7">
        <f>DATEDIF(K4,M4,"Y")</f>
        <v>19</v>
      </c>
      <c r="S4" s="7" t="str">
        <f>IFERROR(R4-P4,"Formado no Clube")</f>
        <v>Formado no Clube</v>
      </c>
      <c r="T4" s="3">
        <f>IFERROR(F4-E4, "N/A")</f>
        <v>127.2</v>
      </c>
      <c r="U4" s="16">
        <f>IFERROR(T4/F4,"N.A.")</f>
        <v>1</v>
      </c>
      <c r="V4" s="16" t="str">
        <f t="shared" ref="V4:V38" si="0">IFERROR(IF(T4/F4&lt;1,T4/F4,"N.A."),"N.A.")</f>
        <v>N.A.</v>
      </c>
      <c r="W4" s="13">
        <f>1736+494+15+77</f>
        <v>2322</v>
      </c>
      <c r="X4" s="13">
        <f>IF(N4&gt;2,W4,W4*1.75)</f>
        <v>2322</v>
      </c>
    </row>
    <row r="5" spans="2:29" ht="23.4" x14ac:dyDescent="0.3">
      <c r="B5" s="18">
        <f>B4+1</f>
        <v>2</v>
      </c>
      <c r="C5" s="2" t="s">
        <v>13</v>
      </c>
      <c r="D5" s="2" t="s">
        <v>113</v>
      </c>
      <c r="E5" s="9">
        <v>44.25</v>
      </c>
      <c r="F5" s="3">
        <v>121</v>
      </c>
      <c r="G5" s="4" t="s">
        <v>10</v>
      </c>
      <c r="H5" s="9" t="s">
        <v>14</v>
      </c>
      <c r="I5" s="9" t="s">
        <v>15</v>
      </c>
      <c r="J5" s="9" t="s">
        <v>53</v>
      </c>
      <c r="K5" s="5">
        <v>36908</v>
      </c>
      <c r="L5" s="5">
        <v>44756</v>
      </c>
      <c r="M5" s="5">
        <v>44957</v>
      </c>
      <c r="N5" s="4">
        <f>MONTH(M5)</f>
        <v>1</v>
      </c>
      <c r="O5" s="6">
        <f>IFERROR(YEARFRAC(K5,L5),"Formado no Clube")</f>
        <v>21.491666666666667</v>
      </c>
      <c r="P5" s="7">
        <f>IFERROR(DATEDIF(K5,L5,"Y"),"Formado no Clube")</f>
        <v>21</v>
      </c>
      <c r="Q5" s="6">
        <f>YEARFRAC(K5,M5)</f>
        <v>22.038888888888888</v>
      </c>
      <c r="R5" s="7">
        <f>DATEDIF(K5,M5,"Y")</f>
        <v>22</v>
      </c>
      <c r="S5" s="7">
        <f>IFERROR(R5-P5,"Formado no Clube")</f>
        <v>1</v>
      </c>
      <c r="T5" s="3">
        <f t="shared" ref="T5:T49" si="1">IFERROR(F5-E5, "N/A")</f>
        <v>76.75</v>
      </c>
      <c r="U5" s="16">
        <f t="shared" ref="U5:U49" si="2">IFERROR(T5/F5,"N.A.")</f>
        <v>0.63429752066115708</v>
      </c>
      <c r="V5" s="16">
        <f t="shared" si="0"/>
        <v>0.63429752066115708</v>
      </c>
      <c r="W5" s="13">
        <f>1581+360+429</f>
        <v>2370</v>
      </c>
      <c r="X5" s="13">
        <f t="shared" ref="X5:X49" si="3">IF(N5&gt;2,W5,W5*1.75)</f>
        <v>4147.5</v>
      </c>
    </row>
    <row r="6" spans="2:29" ht="23.4" x14ac:dyDescent="0.3">
      <c r="B6" s="18">
        <f t="shared" ref="B6:B49" si="4">B5+1</f>
        <v>3</v>
      </c>
      <c r="C6" s="2" t="s">
        <v>16</v>
      </c>
      <c r="D6" s="2" t="s">
        <v>114</v>
      </c>
      <c r="E6" s="9">
        <v>34</v>
      </c>
      <c r="F6" s="3">
        <v>85</v>
      </c>
      <c r="G6" s="9" t="s">
        <v>10</v>
      </c>
      <c r="H6" s="9" t="s">
        <v>17</v>
      </c>
      <c r="I6" s="9" t="s">
        <v>15</v>
      </c>
      <c r="J6" s="9" t="s">
        <v>54</v>
      </c>
      <c r="K6" s="5">
        <v>36335</v>
      </c>
      <c r="L6" s="5">
        <v>44078</v>
      </c>
      <c r="M6" s="5">
        <v>44743</v>
      </c>
      <c r="N6" s="4">
        <f t="shared" ref="N6:N49" si="5">MONTH(M6)</f>
        <v>7</v>
      </c>
      <c r="O6" s="6">
        <f t="shared" ref="O6:O49" si="6">IFERROR(YEARFRAC(K6,L6),"Formado no Clube")</f>
        <v>21.194444444444443</v>
      </c>
      <c r="P6" s="7">
        <f t="shared" ref="P6:P49" si="7">IFERROR(DATEDIF(K6,L6,"Y"),"Formado no Clube")</f>
        <v>21</v>
      </c>
      <c r="Q6" s="6">
        <f t="shared" ref="Q6:Q49" si="8">YEARFRAC(K6,M6)</f>
        <v>23.019444444444446</v>
      </c>
      <c r="R6" s="7">
        <f t="shared" ref="R6:R49" si="9">DATEDIF(K6,M6,"Y")</f>
        <v>23</v>
      </c>
      <c r="S6" s="7">
        <f t="shared" ref="S6:S49" si="10">IFERROR(R6-P6,"Formado no Clube")</f>
        <v>2</v>
      </c>
      <c r="T6" s="3">
        <f t="shared" si="1"/>
        <v>51</v>
      </c>
      <c r="U6" s="16">
        <f t="shared" si="2"/>
        <v>0.6</v>
      </c>
      <c r="V6" s="16">
        <f t="shared" si="0"/>
        <v>0.6</v>
      </c>
      <c r="W6" s="13">
        <f>1989+614</f>
        <v>2603</v>
      </c>
      <c r="X6" s="13">
        <f t="shared" si="3"/>
        <v>2603</v>
      </c>
    </row>
    <row r="7" spans="2:29" ht="23.4" x14ac:dyDescent="0.3">
      <c r="B7" s="18">
        <f t="shared" si="4"/>
        <v>4</v>
      </c>
      <c r="C7" s="2" t="s">
        <v>18</v>
      </c>
      <c r="D7" s="2" t="s">
        <v>112</v>
      </c>
      <c r="E7" s="11">
        <v>0</v>
      </c>
      <c r="F7" s="3">
        <v>71.599999999999994</v>
      </c>
      <c r="G7" s="9" t="s">
        <v>10</v>
      </c>
      <c r="H7" s="9" t="s">
        <v>19</v>
      </c>
      <c r="I7" s="9" t="s">
        <v>15</v>
      </c>
      <c r="J7" s="9" t="s">
        <v>55</v>
      </c>
      <c r="K7" s="5">
        <v>35564</v>
      </c>
      <c r="L7" s="5" t="s">
        <v>106</v>
      </c>
      <c r="M7" s="5">
        <v>44103</v>
      </c>
      <c r="N7" s="4">
        <f t="shared" si="5"/>
        <v>9</v>
      </c>
      <c r="O7" s="6" t="str">
        <f t="shared" si="6"/>
        <v>Formado no Clube</v>
      </c>
      <c r="P7" s="7" t="str">
        <f t="shared" si="7"/>
        <v>Formado no Clube</v>
      </c>
      <c r="Q7" s="6">
        <f t="shared" si="8"/>
        <v>23.375</v>
      </c>
      <c r="R7" s="7">
        <f t="shared" si="9"/>
        <v>23</v>
      </c>
      <c r="S7" s="7" t="str">
        <f t="shared" si="10"/>
        <v>Formado no Clube</v>
      </c>
      <c r="T7" s="3">
        <f t="shared" si="1"/>
        <v>71.599999999999994</v>
      </c>
      <c r="U7" s="16">
        <f t="shared" si="2"/>
        <v>1</v>
      </c>
      <c r="V7" s="16" t="str">
        <f t="shared" si="0"/>
        <v>N.A.</v>
      </c>
      <c r="W7" s="13">
        <f>2970+540+180</f>
        <v>3690</v>
      </c>
      <c r="X7" s="13">
        <f t="shared" si="3"/>
        <v>3690</v>
      </c>
    </row>
    <row r="8" spans="2:29" ht="23.4" x14ac:dyDescent="0.3">
      <c r="B8" s="18">
        <f t="shared" si="4"/>
        <v>5</v>
      </c>
      <c r="C8" s="2" t="s">
        <v>20</v>
      </c>
      <c r="D8" s="2" t="s">
        <v>115</v>
      </c>
      <c r="E8" s="9">
        <v>24</v>
      </c>
      <c r="F8" s="3">
        <v>66.900000000000006</v>
      </c>
      <c r="G8" s="9" t="s">
        <v>21</v>
      </c>
      <c r="H8" s="9" t="s">
        <v>22</v>
      </c>
      <c r="I8" s="9" t="s">
        <v>15</v>
      </c>
      <c r="J8" s="9" t="s">
        <v>54</v>
      </c>
      <c r="K8" s="5">
        <v>35950</v>
      </c>
      <c r="L8" s="5">
        <v>45120</v>
      </c>
      <c r="M8" s="5">
        <v>45864</v>
      </c>
      <c r="N8" s="4">
        <f t="shared" si="5"/>
        <v>7</v>
      </c>
      <c r="O8" s="6">
        <f t="shared" si="6"/>
        <v>25.108333333333334</v>
      </c>
      <c r="P8" s="7">
        <f t="shared" si="7"/>
        <v>25</v>
      </c>
      <c r="Q8" s="6">
        <f t="shared" si="8"/>
        <v>27.144444444444446</v>
      </c>
      <c r="R8" s="7">
        <f t="shared" si="9"/>
        <v>27</v>
      </c>
      <c r="S8" s="7">
        <f t="shared" si="10"/>
        <v>2</v>
      </c>
      <c r="T8" s="3">
        <f t="shared" si="1"/>
        <v>42.900000000000006</v>
      </c>
      <c r="U8" s="16">
        <f t="shared" si="2"/>
        <v>0.64125560538116599</v>
      </c>
      <c r="V8" s="16">
        <f t="shared" si="0"/>
        <v>0.64125560538116599</v>
      </c>
      <c r="W8" s="13">
        <f>2804+606</f>
        <v>3410</v>
      </c>
      <c r="X8" s="13">
        <f t="shared" si="3"/>
        <v>3410</v>
      </c>
    </row>
    <row r="9" spans="2:29" ht="23.4" x14ac:dyDescent="0.3">
      <c r="B9" s="18">
        <f t="shared" si="4"/>
        <v>6</v>
      </c>
      <c r="C9" s="2" t="s">
        <v>23</v>
      </c>
      <c r="D9" s="2" t="s">
        <v>112</v>
      </c>
      <c r="E9" s="11">
        <v>0</v>
      </c>
      <c r="F9" s="3">
        <v>65.92</v>
      </c>
      <c r="G9" s="9" t="s">
        <v>10</v>
      </c>
      <c r="H9" s="9" t="s">
        <v>24</v>
      </c>
      <c r="I9" s="9" t="s">
        <v>25</v>
      </c>
      <c r="J9" s="9" t="s">
        <v>53</v>
      </c>
      <c r="K9" s="5">
        <v>38257</v>
      </c>
      <c r="L9" s="5" t="s">
        <v>106</v>
      </c>
      <c r="M9" s="5">
        <v>45509</v>
      </c>
      <c r="N9" s="4">
        <f t="shared" si="5"/>
        <v>8</v>
      </c>
      <c r="O9" s="6" t="str">
        <f t="shared" si="6"/>
        <v>Formado no Clube</v>
      </c>
      <c r="P9" s="7" t="str">
        <f t="shared" si="7"/>
        <v>Formado no Clube</v>
      </c>
      <c r="Q9" s="6">
        <f t="shared" si="8"/>
        <v>19.855555555555554</v>
      </c>
      <c r="R9" s="7">
        <f t="shared" si="9"/>
        <v>19</v>
      </c>
      <c r="S9" s="7" t="str">
        <f t="shared" si="10"/>
        <v>Formado no Clube</v>
      </c>
      <c r="T9" s="3">
        <f t="shared" si="1"/>
        <v>65.92</v>
      </c>
      <c r="U9" s="16">
        <f t="shared" si="2"/>
        <v>1</v>
      </c>
      <c r="V9" s="16" t="str">
        <f t="shared" si="0"/>
        <v>N.A.</v>
      </c>
      <c r="W9" s="13">
        <f>2314+570+540</f>
        <v>3424</v>
      </c>
      <c r="X9" s="13">
        <f t="shared" si="3"/>
        <v>3424</v>
      </c>
    </row>
    <row r="10" spans="2:29" ht="23.4" x14ac:dyDescent="0.3">
      <c r="B10" s="18">
        <f t="shared" si="4"/>
        <v>7</v>
      </c>
      <c r="C10" s="2" t="s">
        <v>26</v>
      </c>
      <c r="D10" s="2" t="s">
        <v>112</v>
      </c>
      <c r="E10" s="11">
        <v>0</v>
      </c>
      <c r="F10" s="3">
        <v>65</v>
      </c>
      <c r="G10" s="9" t="s">
        <v>10</v>
      </c>
      <c r="H10" s="9" t="s">
        <v>24</v>
      </c>
      <c r="I10" s="9" t="s">
        <v>25</v>
      </c>
      <c r="J10" s="9" t="s">
        <v>54</v>
      </c>
      <c r="K10" s="5">
        <v>37062</v>
      </c>
      <c r="L10" s="5" t="s">
        <v>106</v>
      </c>
      <c r="M10" s="5">
        <v>45145</v>
      </c>
      <c r="N10" s="4">
        <f t="shared" si="5"/>
        <v>8</v>
      </c>
      <c r="O10" s="6" t="str">
        <f t="shared" si="6"/>
        <v>Formado no Clube</v>
      </c>
      <c r="P10" s="7" t="str">
        <f t="shared" si="7"/>
        <v>Formado no Clube</v>
      </c>
      <c r="Q10" s="6">
        <f t="shared" si="8"/>
        <v>22.130555555555556</v>
      </c>
      <c r="R10" s="7">
        <f t="shared" si="9"/>
        <v>22</v>
      </c>
      <c r="S10" s="7" t="str">
        <f t="shared" si="10"/>
        <v>Formado no Clube</v>
      </c>
      <c r="T10" s="3">
        <f t="shared" si="1"/>
        <v>65</v>
      </c>
      <c r="U10" s="16">
        <f t="shared" si="2"/>
        <v>1</v>
      </c>
      <c r="V10" s="16" t="str">
        <f t="shared" si="0"/>
        <v>N.A.</v>
      </c>
      <c r="W10" s="13">
        <f>2306+719+239</f>
        <v>3264</v>
      </c>
      <c r="X10" s="13">
        <f t="shared" si="3"/>
        <v>3264</v>
      </c>
    </row>
    <row r="11" spans="2:29" ht="23.4" x14ac:dyDescent="0.3">
      <c r="B11" s="18">
        <f t="shared" si="4"/>
        <v>8</v>
      </c>
      <c r="C11" s="2" t="s">
        <v>27</v>
      </c>
      <c r="D11" s="2" t="s">
        <v>112</v>
      </c>
      <c r="E11" s="9">
        <v>9.6999999999999993</v>
      </c>
      <c r="F11" s="3">
        <v>65</v>
      </c>
      <c r="G11" s="9" t="s">
        <v>21</v>
      </c>
      <c r="H11" s="9" t="s">
        <v>28</v>
      </c>
      <c r="I11" s="9" t="s">
        <v>15</v>
      </c>
      <c r="J11" s="9" t="s">
        <v>56</v>
      </c>
      <c r="K11" s="5">
        <v>34585</v>
      </c>
      <c r="L11" s="5">
        <v>42918</v>
      </c>
      <c r="M11" s="5">
        <v>43859</v>
      </c>
      <c r="N11" s="4">
        <f t="shared" si="5"/>
        <v>1</v>
      </c>
      <c r="O11" s="6">
        <f t="shared" si="6"/>
        <v>22.816666666666666</v>
      </c>
      <c r="P11" s="7">
        <f t="shared" si="7"/>
        <v>22</v>
      </c>
      <c r="Q11" s="6">
        <f t="shared" si="8"/>
        <v>25.391666666666666</v>
      </c>
      <c r="R11" s="7">
        <f t="shared" si="9"/>
        <v>25</v>
      </c>
      <c r="S11" s="7">
        <f t="shared" si="10"/>
        <v>3</v>
      </c>
      <c r="T11" s="3">
        <f t="shared" si="1"/>
        <v>55.3</v>
      </c>
      <c r="U11" s="16">
        <f t="shared" si="2"/>
        <v>0.85076923076923072</v>
      </c>
      <c r="V11" s="16">
        <f t="shared" si="0"/>
        <v>0.85076923076923072</v>
      </c>
      <c r="W11" s="13">
        <f>1530+450</f>
        <v>1980</v>
      </c>
      <c r="X11" s="13">
        <f t="shared" si="3"/>
        <v>3465</v>
      </c>
    </row>
    <row r="12" spans="2:29" ht="23.4" x14ac:dyDescent="0.3">
      <c r="B12" s="18">
        <f t="shared" si="4"/>
        <v>9</v>
      </c>
      <c r="C12" s="2" t="s">
        <v>29</v>
      </c>
      <c r="D12" s="2" t="s">
        <v>12</v>
      </c>
      <c r="E12" s="9">
        <v>21.2</v>
      </c>
      <c r="F12" s="3">
        <v>60</v>
      </c>
      <c r="G12" s="9" t="s">
        <v>30</v>
      </c>
      <c r="H12" s="9" t="s">
        <v>19</v>
      </c>
      <c r="I12" s="9" t="s">
        <v>15</v>
      </c>
      <c r="J12" s="9" t="s">
        <v>57</v>
      </c>
      <c r="K12" s="5">
        <v>37259</v>
      </c>
      <c r="L12" s="5">
        <v>45136</v>
      </c>
      <c r="M12" s="5">
        <v>45691</v>
      </c>
      <c r="N12" s="4">
        <f t="shared" si="5"/>
        <v>2</v>
      </c>
      <c r="O12" s="6">
        <f t="shared" si="6"/>
        <v>21.572222222222223</v>
      </c>
      <c r="P12" s="7">
        <f t="shared" si="7"/>
        <v>21</v>
      </c>
      <c r="Q12" s="6">
        <f t="shared" si="8"/>
        <v>23.083333333333332</v>
      </c>
      <c r="R12" s="7">
        <f t="shared" si="9"/>
        <v>23</v>
      </c>
      <c r="S12" s="7">
        <f t="shared" si="10"/>
        <v>2</v>
      </c>
      <c r="T12" s="3">
        <f t="shared" si="1"/>
        <v>38.799999999999997</v>
      </c>
      <c r="U12" s="16">
        <f t="shared" si="2"/>
        <v>0.64666666666666661</v>
      </c>
      <c r="V12" s="16">
        <f t="shared" si="0"/>
        <v>0.64666666666666661</v>
      </c>
      <c r="W12" s="13">
        <f>1449+563</f>
        <v>2012</v>
      </c>
      <c r="X12" s="13">
        <f t="shared" si="3"/>
        <v>3521</v>
      </c>
      <c r="AC12" s="8" t="s">
        <v>127</v>
      </c>
    </row>
    <row r="13" spans="2:29" ht="23.4" x14ac:dyDescent="0.3">
      <c r="B13" s="18">
        <f t="shared" si="4"/>
        <v>10</v>
      </c>
      <c r="C13" s="2" t="s">
        <v>31</v>
      </c>
      <c r="D13" s="2" t="s">
        <v>114</v>
      </c>
      <c r="E13" s="9">
        <v>24.5</v>
      </c>
      <c r="F13" s="3">
        <v>60</v>
      </c>
      <c r="G13" s="9" t="s">
        <v>21</v>
      </c>
      <c r="H13" s="9" t="s">
        <v>24</v>
      </c>
      <c r="I13" s="9" t="s">
        <v>25</v>
      </c>
      <c r="J13" s="9" t="s">
        <v>57</v>
      </c>
      <c r="K13" s="5">
        <v>36992</v>
      </c>
      <c r="L13" s="5">
        <v>44417</v>
      </c>
      <c r="M13" s="5">
        <v>45114</v>
      </c>
      <c r="N13" s="4">
        <f t="shared" si="5"/>
        <v>7</v>
      </c>
      <c r="O13" s="6">
        <f t="shared" si="6"/>
        <v>20.327777777777779</v>
      </c>
      <c r="P13" s="7">
        <f t="shared" si="7"/>
        <v>20</v>
      </c>
      <c r="Q13" s="6">
        <f t="shared" si="8"/>
        <v>22.238888888888887</v>
      </c>
      <c r="R13" s="7">
        <f t="shared" si="9"/>
        <v>22</v>
      </c>
      <c r="S13" s="7">
        <f t="shared" si="10"/>
        <v>2</v>
      </c>
      <c r="T13" s="3">
        <f t="shared" si="1"/>
        <v>35.5</v>
      </c>
      <c r="U13" s="16">
        <f t="shared" si="2"/>
        <v>0.59166666666666667</v>
      </c>
      <c r="V13" s="16">
        <f t="shared" si="0"/>
        <v>0.59166666666666667</v>
      </c>
      <c r="W13" s="13">
        <f>2368+468+372</f>
        <v>3208</v>
      </c>
      <c r="X13" s="13">
        <f t="shared" si="3"/>
        <v>3208</v>
      </c>
    </row>
    <row r="14" spans="2:29" ht="23.4" x14ac:dyDescent="0.3">
      <c r="B14" s="18">
        <f t="shared" si="4"/>
        <v>11</v>
      </c>
      <c r="C14" s="2" t="s">
        <v>32</v>
      </c>
      <c r="D14" s="2" t="s">
        <v>112</v>
      </c>
      <c r="E14" s="9">
        <v>2.5</v>
      </c>
      <c r="F14" s="3">
        <v>60</v>
      </c>
      <c r="G14" s="9" t="s">
        <v>30</v>
      </c>
      <c r="H14" s="9" t="s">
        <v>33</v>
      </c>
      <c r="I14" s="9" t="s">
        <v>34</v>
      </c>
      <c r="J14" s="9" t="s">
        <v>56</v>
      </c>
      <c r="K14" s="5">
        <v>34739</v>
      </c>
      <c r="L14" s="5">
        <v>41883</v>
      </c>
      <c r="M14" s="5">
        <v>45160</v>
      </c>
      <c r="N14" s="4">
        <f t="shared" si="5"/>
        <v>8</v>
      </c>
      <c r="O14" s="6">
        <f t="shared" si="6"/>
        <v>19.56111111111111</v>
      </c>
      <c r="P14" s="7">
        <f t="shared" si="7"/>
        <v>19</v>
      </c>
      <c r="Q14" s="6">
        <f t="shared" si="8"/>
        <v>28.536111111111111</v>
      </c>
      <c r="R14" s="7">
        <f t="shared" si="9"/>
        <v>28</v>
      </c>
      <c r="S14" s="7">
        <f t="shared" si="10"/>
        <v>9</v>
      </c>
      <c r="T14" s="3">
        <f t="shared" si="1"/>
        <v>57.5</v>
      </c>
      <c r="U14" s="16">
        <f t="shared" si="2"/>
        <v>0.95833333333333337</v>
      </c>
      <c r="V14" s="16">
        <f t="shared" si="0"/>
        <v>0.95833333333333337</v>
      </c>
      <c r="W14" s="13">
        <f>2271+530</f>
        <v>2801</v>
      </c>
      <c r="X14" s="13">
        <f t="shared" si="3"/>
        <v>2801</v>
      </c>
    </row>
    <row r="15" spans="2:29" ht="23.4" x14ac:dyDescent="0.3">
      <c r="B15" s="18">
        <f t="shared" si="4"/>
        <v>12</v>
      </c>
      <c r="C15" s="2" t="s">
        <v>35</v>
      </c>
      <c r="D15" s="2" t="s">
        <v>112</v>
      </c>
      <c r="E15" s="11">
        <v>0</v>
      </c>
      <c r="F15" s="3">
        <v>50.78</v>
      </c>
      <c r="G15" s="9" t="s">
        <v>21</v>
      </c>
      <c r="H15" s="9" t="s">
        <v>14</v>
      </c>
      <c r="I15" s="9" t="s">
        <v>15</v>
      </c>
      <c r="J15" s="9" t="s">
        <v>58</v>
      </c>
      <c r="K15" s="5">
        <v>39202</v>
      </c>
      <c r="L15" s="5" t="s">
        <v>106</v>
      </c>
      <c r="M15" s="5">
        <v>45839</v>
      </c>
      <c r="N15" s="4">
        <f t="shared" si="5"/>
        <v>7</v>
      </c>
      <c r="O15" s="6" t="str">
        <f t="shared" si="6"/>
        <v>Formado no Clube</v>
      </c>
      <c r="P15" s="7" t="str">
        <f t="shared" si="7"/>
        <v>Formado no Clube</v>
      </c>
      <c r="Q15" s="6">
        <f t="shared" si="8"/>
        <v>18.169444444444444</v>
      </c>
      <c r="R15" s="7">
        <f t="shared" si="9"/>
        <v>18</v>
      </c>
      <c r="S15" s="7" t="str">
        <f t="shared" si="10"/>
        <v>Formado no Clube</v>
      </c>
      <c r="T15" s="3">
        <f t="shared" si="1"/>
        <v>50.78</v>
      </c>
      <c r="U15" s="16">
        <f t="shared" si="2"/>
        <v>1</v>
      </c>
      <c r="V15" s="16" t="str">
        <f t="shared" si="0"/>
        <v>N.A.</v>
      </c>
      <c r="W15" s="13">
        <f>2260+723</f>
        <v>2983</v>
      </c>
      <c r="X15" s="13">
        <f t="shared" si="3"/>
        <v>2983</v>
      </c>
    </row>
    <row r="16" spans="2:29" ht="23.4" x14ac:dyDescent="0.3">
      <c r="B16" s="18">
        <f t="shared" si="4"/>
        <v>13</v>
      </c>
      <c r="C16" s="2" t="s">
        <v>36</v>
      </c>
      <c r="D16" s="2" t="s">
        <v>12</v>
      </c>
      <c r="E16" s="9">
        <v>14.3</v>
      </c>
      <c r="F16" s="3">
        <v>50</v>
      </c>
      <c r="G16" s="9" t="s">
        <v>10</v>
      </c>
      <c r="H16" s="9" t="s">
        <v>37</v>
      </c>
      <c r="I16" s="9" t="s">
        <v>12</v>
      </c>
      <c r="J16" s="9" t="s">
        <v>59</v>
      </c>
      <c r="K16" s="5">
        <v>37703</v>
      </c>
      <c r="L16" s="5">
        <v>45307</v>
      </c>
      <c r="M16" s="5">
        <v>45852</v>
      </c>
      <c r="N16" s="4">
        <f t="shared" si="5"/>
        <v>7</v>
      </c>
      <c r="O16" s="6">
        <f t="shared" si="6"/>
        <v>20.81388888888889</v>
      </c>
      <c r="P16" s="7">
        <f t="shared" si="7"/>
        <v>20</v>
      </c>
      <c r="Q16" s="6">
        <f t="shared" si="8"/>
        <v>22.308333333333334</v>
      </c>
      <c r="R16" s="7">
        <f t="shared" si="9"/>
        <v>22</v>
      </c>
      <c r="S16" s="7">
        <f t="shared" si="10"/>
        <v>2</v>
      </c>
      <c r="T16" s="3">
        <f t="shared" si="1"/>
        <v>35.700000000000003</v>
      </c>
      <c r="U16" s="16">
        <f t="shared" si="2"/>
        <v>0.71400000000000008</v>
      </c>
      <c r="V16" s="16">
        <f t="shared" si="0"/>
        <v>0.71400000000000008</v>
      </c>
      <c r="W16" s="13">
        <f>2747+900</f>
        <v>3647</v>
      </c>
      <c r="X16" s="13">
        <f t="shared" si="3"/>
        <v>3647</v>
      </c>
    </row>
    <row r="17" spans="2:24" ht="23.4" x14ac:dyDescent="0.3">
      <c r="B17" s="18">
        <f t="shared" si="4"/>
        <v>14</v>
      </c>
      <c r="C17" s="2" t="s">
        <v>38</v>
      </c>
      <c r="D17" s="2" t="s">
        <v>116</v>
      </c>
      <c r="E17" s="9">
        <v>9.91</v>
      </c>
      <c r="F17" s="3">
        <v>50</v>
      </c>
      <c r="G17" s="9" t="s">
        <v>30</v>
      </c>
      <c r="H17" s="9" t="s">
        <v>39</v>
      </c>
      <c r="I17" s="9" t="s">
        <v>34</v>
      </c>
      <c r="J17" s="9" t="s">
        <v>60</v>
      </c>
      <c r="K17" s="5">
        <v>35725</v>
      </c>
      <c r="L17" s="5">
        <v>44592</v>
      </c>
      <c r="M17" s="5">
        <v>45688</v>
      </c>
      <c r="N17" s="4">
        <f t="shared" si="5"/>
        <v>1</v>
      </c>
      <c r="O17" s="6">
        <f t="shared" si="6"/>
        <v>24.274999999999999</v>
      </c>
      <c r="P17" s="7">
        <f t="shared" si="7"/>
        <v>24</v>
      </c>
      <c r="Q17" s="6">
        <f t="shared" si="8"/>
        <v>27.274999999999999</v>
      </c>
      <c r="R17" s="7">
        <f t="shared" si="9"/>
        <v>27</v>
      </c>
      <c r="S17" s="7">
        <f t="shared" si="10"/>
        <v>3</v>
      </c>
      <c r="T17" s="3">
        <f t="shared" si="1"/>
        <v>40.090000000000003</v>
      </c>
      <c r="U17" s="16">
        <f t="shared" si="2"/>
        <v>0.80180000000000007</v>
      </c>
      <c r="V17" s="16">
        <f t="shared" si="0"/>
        <v>0.80180000000000007</v>
      </c>
      <c r="W17" s="13">
        <f>1449+585</f>
        <v>2034</v>
      </c>
      <c r="X17" s="13">
        <f t="shared" si="3"/>
        <v>3559.5</v>
      </c>
    </row>
    <row r="18" spans="2:24" ht="23.4" x14ac:dyDescent="0.3">
      <c r="B18" s="18">
        <f t="shared" si="4"/>
        <v>15</v>
      </c>
      <c r="C18" s="2" t="s">
        <v>40</v>
      </c>
      <c r="D18" s="2" t="s">
        <v>116</v>
      </c>
      <c r="E18" s="9">
        <v>7</v>
      </c>
      <c r="F18" s="3">
        <v>50</v>
      </c>
      <c r="G18" s="9" t="s">
        <v>30</v>
      </c>
      <c r="H18" s="9" t="s">
        <v>37</v>
      </c>
      <c r="I18" s="9" t="s">
        <v>12</v>
      </c>
      <c r="J18" s="9" t="s">
        <v>55</v>
      </c>
      <c r="K18" s="5">
        <v>35813</v>
      </c>
      <c r="L18" s="5">
        <v>43319</v>
      </c>
      <c r="M18" s="5">
        <v>43647</v>
      </c>
      <c r="N18" s="4">
        <f t="shared" si="5"/>
        <v>7</v>
      </c>
      <c r="O18" s="6">
        <f t="shared" si="6"/>
        <v>20.552777777777777</v>
      </c>
      <c r="P18" s="7">
        <f t="shared" si="7"/>
        <v>20</v>
      </c>
      <c r="Q18" s="6">
        <f t="shared" si="8"/>
        <v>21.452777777777779</v>
      </c>
      <c r="R18" s="7">
        <f t="shared" si="9"/>
        <v>21</v>
      </c>
      <c r="S18" s="7">
        <f t="shared" si="10"/>
        <v>1</v>
      </c>
      <c r="T18" s="3">
        <f t="shared" si="1"/>
        <v>43</v>
      </c>
      <c r="U18" s="16">
        <f t="shared" si="2"/>
        <v>0.86</v>
      </c>
      <c r="V18" s="16">
        <f t="shared" si="0"/>
        <v>0.86</v>
      </c>
      <c r="W18" s="13">
        <f>2600+823</f>
        <v>3423</v>
      </c>
      <c r="X18" s="13">
        <f t="shared" si="3"/>
        <v>3423</v>
      </c>
    </row>
    <row r="19" spans="2:24" ht="23.4" x14ac:dyDescent="0.3">
      <c r="B19" s="18">
        <f t="shared" si="4"/>
        <v>16</v>
      </c>
      <c r="C19" s="2" t="s">
        <v>41</v>
      </c>
      <c r="D19" s="2" t="s">
        <v>117</v>
      </c>
      <c r="E19" s="9">
        <v>7.22</v>
      </c>
      <c r="F19" s="3">
        <v>49</v>
      </c>
      <c r="G19" s="9" t="s">
        <v>30</v>
      </c>
      <c r="H19" s="9" t="s">
        <v>17</v>
      </c>
      <c r="I19" s="9" t="s">
        <v>15</v>
      </c>
      <c r="J19" s="9" t="s">
        <v>60</v>
      </c>
      <c r="K19" s="5">
        <v>35443</v>
      </c>
      <c r="L19" s="5">
        <v>43656</v>
      </c>
      <c r="M19" s="5">
        <v>44591</v>
      </c>
      <c r="N19" s="4">
        <f t="shared" si="5"/>
        <v>1</v>
      </c>
      <c r="O19" s="6">
        <f t="shared" si="6"/>
        <v>22.491666666666667</v>
      </c>
      <c r="P19" s="7">
        <f t="shared" si="7"/>
        <v>22</v>
      </c>
      <c r="Q19" s="6">
        <f t="shared" si="8"/>
        <v>25.047222222222221</v>
      </c>
      <c r="R19" s="7">
        <f t="shared" si="9"/>
        <v>25</v>
      </c>
      <c r="S19" s="7">
        <f t="shared" si="10"/>
        <v>3</v>
      </c>
      <c r="T19" s="3">
        <f t="shared" si="1"/>
        <v>41.78</v>
      </c>
      <c r="U19" s="16">
        <f t="shared" si="2"/>
        <v>0.85265306122448981</v>
      </c>
      <c r="V19" s="16">
        <f t="shared" si="0"/>
        <v>0.85265306122448981</v>
      </c>
      <c r="W19" s="13">
        <f>1508+523</f>
        <v>2031</v>
      </c>
      <c r="X19" s="13">
        <f t="shared" si="3"/>
        <v>3554.25</v>
      </c>
    </row>
    <row r="20" spans="2:24" ht="23.4" x14ac:dyDescent="0.3">
      <c r="B20" s="18">
        <f t="shared" si="4"/>
        <v>17</v>
      </c>
      <c r="C20" s="2" t="s">
        <v>42</v>
      </c>
      <c r="D20" s="2" t="s">
        <v>112</v>
      </c>
      <c r="E20" s="9">
        <v>0.95</v>
      </c>
      <c r="F20" s="3">
        <v>47.4</v>
      </c>
      <c r="G20" s="9" t="s">
        <v>21</v>
      </c>
      <c r="H20" s="9" t="s">
        <v>43</v>
      </c>
      <c r="I20" s="9" t="s">
        <v>15</v>
      </c>
      <c r="J20" s="9" t="s">
        <v>53</v>
      </c>
      <c r="K20" s="5">
        <v>36034</v>
      </c>
      <c r="L20" s="5">
        <v>43496</v>
      </c>
      <c r="M20" s="5">
        <v>44791</v>
      </c>
      <c r="N20" s="4">
        <f t="shared" si="5"/>
        <v>8</v>
      </c>
      <c r="O20" s="6">
        <f t="shared" si="6"/>
        <v>20.427777777777777</v>
      </c>
      <c r="P20" s="7">
        <f t="shared" si="7"/>
        <v>20</v>
      </c>
      <c r="Q20" s="6">
        <f t="shared" si="8"/>
        <v>23.975000000000001</v>
      </c>
      <c r="R20" s="7">
        <f t="shared" si="9"/>
        <v>23</v>
      </c>
      <c r="S20" s="7">
        <f t="shared" si="10"/>
        <v>3</v>
      </c>
      <c r="T20" s="3">
        <f t="shared" si="1"/>
        <v>46.449999999999996</v>
      </c>
      <c r="U20" s="16">
        <f t="shared" si="2"/>
        <v>0.97995780590717296</v>
      </c>
      <c r="V20" s="16">
        <f t="shared" si="0"/>
        <v>0.97995780590717296</v>
      </c>
      <c r="W20" s="13">
        <f>2569+510</f>
        <v>3079</v>
      </c>
      <c r="X20" s="13">
        <f t="shared" si="3"/>
        <v>3079</v>
      </c>
    </row>
    <row r="21" spans="2:24" ht="23.4" x14ac:dyDescent="0.3">
      <c r="B21" s="18">
        <f t="shared" si="4"/>
        <v>18</v>
      </c>
      <c r="C21" s="2" t="s">
        <v>44</v>
      </c>
      <c r="D21" s="2" t="s">
        <v>25</v>
      </c>
      <c r="E21" s="9">
        <v>6.75</v>
      </c>
      <c r="F21" s="3">
        <v>45</v>
      </c>
      <c r="G21" s="9" t="s">
        <v>30</v>
      </c>
      <c r="H21" s="9" t="s">
        <v>19</v>
      </c>
      <c r="I21" s="9" t="s">
        <v>15</v>
      </c>
      <c r="J21" s="9" t="s">
        <v>55</v>
      </c>
      <c r="K21" s="5">
        <v>33282</v>
      </c>
      <c r="L21" s="5">
        <v>40771</v>
      </c>
      <c r="M21" s="5">
        <v>41862</v>
      </c>
      <c r="N21" s="4">
        <f t="shared" si="5"/>
        <v>8</v>
      </c>
      <c r="O21" s="6">
        <f t="shared" si="6"/>
        <v>20.508333333333333</v>
      </c>
      <c r="P21" s="7">
        <f t="shared" si="7"/>
        <v>20</v>
      </c>
      <c r="Q21" s="6">
        <f t="shared" si="8"/>
        <v>23.494444444444444</v>
      </c>
      <c r="R21" s="7">
        <f t="shared" si="9"/>
        <v>23</v>
      </c>
      <c r="S21" s="7">
        <f t="shared" si="10"/>
        <v>3</v>
      </c>
      <c r="T21" s="3">
        <f t="shared" si="1"/>
        <v>38.25</v>
      </c>
      <c r="U21" s="16">
        <f t="shared" si="2"/>
        <v>0.85</v>
      </c>
      <c r="V21" s="16">
        <f t="shared" si="0"/>
        <v>0.85</v>
      </c>
      <c r="W21" s="13">
        <f>1816+540+539</f>
        <v>2895</v>
      </c>
      <c r="X21" s="13">
        <f t="shared" si="3"/>
        <v>2895</v>
      </c>
    </row>
    <row r="22" spans="2:24" ht="23.4" x14ac:dyDescent="0.3">
      <c r="B22" s="18">
        <f t="shared" si="4"/>
        <v>19</v>
      </c>
      <c r="C22" s="2" t="s">
        <v>45</v>
      </c>
      <c r="D22" s="2" t="s">
        <v>117</v>
      </c>
      <c r="E22" s="9">
        <v>7.35</v>
      </c>
      <c r="F22" s="3">
        <v>45</v>
      </c>
      <c r="G22" s="9" t="s">
        <v>30</v>
      </c>
      <c r="H22" s="9" t="s">
        <v>46</v>
      </c>
      <c r="I22" s="9" t="s">
        <v>25</v>
      </c>
      <c r="J22" s="9" t="s">
        <v>56</v>
      </c>
      <c r="K22" s="5">
        <v>33431</v>
      </c>
      <c r="L22" s="5">
        <v>40365</v>
      </c>
      <c r="M22" s="5">
        <v>41456</v>
      </c>
      <c r="N22" s="4">
        <f t="shared" si="5"/>
        <v>7</v>
      </c>
      <c r="O22" s="6">
        <f t="shared" si="6"/>
        <v>18.983333333333334</v>
      </c>
      <c r="P22" s="7">
        <f t="shared" si="7"/>
        <v>18</v>
      </c>
      <c r="Q22" s="6">
        <f t="shared" si="8"/>
        <v>21.969444444444445</v>
      </c>
      <c r="R22" s="7">
        <f t="shared" si="9"/>
        <v>21</v>
      </c>
      <c r="S22" s="7">
        <f t="shared" si="10"/>
        <v>3</v>
      </c>
      <c r="T22" s="3">
        <f t="shared" si="1"/>
        <v>37.65</v>
      </c>
      <c r="U22" s="16">
        <f t="shared" si="2"/>
        <v>0.83666666666666667</v>
      </c>
      <c r="V22" s="16">
        <f t="shared" si="0"/>
        <v>0.83666666666666667</v>
      </c>
      <c r="W22" s="13">
        <f>1747+615</f>
        <v>2362</v>
      </c>
      <c r="X22" s="13">
        <f t="shared" si="3"/>
        <v>2362</v>
      </c>
    </row>
    <row r="23" spans="2:24" ht="23.4" x14ac:dyDescent="0.3">
      <c r="B23" s="18">
        <f t="shared" si="4"/>
        <v>20</v>
      </c>
      <c r="C23" s="2" t="s">
        <v>74</v>
      </c>
      <c r="D23" s="2" t="s">
        <v>112</v>
      </c>
      <c r="E23" s="11">
        <v>0</v>
      </c>
      <c r="F23" s="3">
        <v>45</v>
      </c>
      <c r="G23" s="9" t="s">
        <v>21</v>
      </c>
      <c r="H23" s="9" t="s">
        <v>24</v>
      </c>
      <c r="I23" s="9" t="s">
        <v>25</v>
      </c>
      <c r="J23" s="9" t="s">
        <v>59</v>
      </c>
      <c r="K23" s="5">
        <v>37426</v>
      </c>
      <c r="L23" s="5" t="s">
        <v>106</v>
      </c>
      <c r="M23" s="5">
        <v>44439</v>
      </c>
      <c r="N23" s="4">
        <f t="shared" si="5"/>
        <v>8</v>
      </c>
      <c r="O23" s="6" t="str">
        <f t="shared" si="6"/>
        <v>Formado no Clube</v>
      </c>
      <c r="P23" s="7" t="str">
        <f t="shared" si="7"/>
        <v>Formado no Clube</v>
      </c>
      <c r="Q23" s="6">
        <f t="shared" si="8"/>
        <v>19.2</v>
      </c>
      <c r="R23" s="7">
        <f t="shared" si="9"/>
        <v>19</v>
      </c>
      <c r="S23" s="7" t="str">
        <f t="shared" si="10"/>
        <v>Formado no Clube</v>
      </c>
      <c r="T23" s="3">
        <f t="shared" si="1"/>
        <v>45</v>
      </c>
      <c r="U23" s="16">
        <f t="shared" si="2"/>
        <v>1</v>
      </c>
      <c r="V23" s="16" t="str">
        <f t="shared" si="0"/>
        <v>N.A.</v>
      </c>
      <c r="W23" s="13">
        <f>2402+180</f>
        <v>2582</v>
      </c>
      <c r="X23" s="13">
        <f t="shared" si="3"/>
        <v>2582</v>
      </c>
    </row>
    <row r="24" spans="2:24" ht="23.4" x14ac:dyDescent="0.3">
      <c r="B24" s="18">
        <f t="shared" si="4"/>
        <v>21</v>
      </c>
      <c r="C24" s="2" t="s">
        <v>63</v>
      </c>
      <c r="D24" s="2" t="s">
        <v>12</v>
      </c>
      <c r="E24" s="9">
        <v>8.77</v>
      </c>
      <c r="F24" s="3">
        <v>45</v>
      </c>
      <c r="G24" s="9" t="s">
        <v>21</v>
      </c>
      <c r="H24" s="9" t="s">
        <v>64</v>
      </c>
      <c r="I24" s="9" t="s">
        <v>15</v>
      </c>
      <c r="J24" s="9" t="s">
        <v>65</v>
      </c>
      <c r="K24" s="5">
        <v>36416</v>
      </c>
      <c r="L24" s="5">
        <v>44058</v>
      </c>
      <c r="M24" s="5">
        <v>44957</v>
      </c>
      <c r="N24" s="4">
        <f t="shared" si="5"/>
        <v>1</v>
      </c>
      <c r="O24" s="6">
        <f t="shared" si="6"/>
        <v>20.922222222222221</v>
      </c>
      <c r="P24" s="7">
        <f t="shared" si="7"/>
        <v>20</v>
      </c>
      <c r="Q24" s="6">
        <f t="shared" si="8"/>
        <v>23.383333333333333</v>
      </c>
      <c r="R24" s="7">
        <f t="shared" si="9"/>
        <v>23</v>
      </c>
      <c r="S24" s="7">
        <f t="shared" si="10"/>
        <v>3</v>
      </c>
      <c r="T24" s="3">
        <f t="shared" si="1"/>
        <v>36.230000000000004</v>
      </c>
      <c r="U24" s="16">
        <f t="shared" si="2"/>
        <v>0.80511111111111122</v>
      </c>
      <c r="V24" s="16">
        <f t="shared" si="0"/>
        <v>0.80511111111111122</v>
      </c>
      <c r="W24" s="13">
        <f>1076+391</f>
        <v>1467</v>
      </c>
      <c r="X24" s="13">
        <f t="shared" si="3"/>
        <v>2567.25</v>
      </c>
    </row>
    <row r="25" spans="2:24" ht="23.4" x14ac:dyDescent="0.3">
      <c r="B25" s="18">
        <f t="shared" si="4"/>
        <v>22</v>
      </c>
      <c r="C25" s="2" t="s">
        <v>47</v>
      </c>
      <c r="D25" s="2" t="s">
        <v>112</v>
      </c>
      <c r="E25" s="11">
        <v>0</v>
      </c>
      <c r="F25" s="3">
        <v>44.78</v>
      </c>
      <c r="G25" s="9" t="s">
        <v>21</v>
      </c>
      <c r="H25" s="9" t="s">
        <v>48</v>
      </c>
      <c r="I25" s="9" t="s">
        <v>49</v>
      </c>
      <c r="J25" s="9" t="s">
        <v>56</v>
      </c>
      <c r="K25" s="5">
        <v>33988</v>
      </c>
      <c r="L25" s="5" t="s">
        <v>106</v>
      </c>
      <c r="M25" s="5">
        <v>42610</v>
      </c>
      <c r="N25" s="4">
        <f t="shared" si="5"/>
        <v>8</v>
      </c>
      <c r="O25" s="6" t="str">
        <f t="shared" ref="O25:O27" si="11">IFERROR(YEARFRAC(K25,L25),"Formado no Clube")</f>
        <v>Formado no Clube</v>
      </c>
      <c r="P25" s="7" t="str">
        <f t="shared" ref="P25:P27" si="12">IFERROR(DATEDIF(K25,L25,"Y"),"Formado no Clube")</f>
        <v>Formado no Clube</v>
      </c>
      <c r="Q25" s="6">
        <f t="shared" ref="Q25:Q27" si="13">YEARFRAC(K25,M25)</f>
        <v>23.608333333333334</v>
      </c>
      <c r="R25" s="7">
        <f t="shared" ref="R25:R27" si="14">DATEDIF(K25,M25,"Y")</f>
        <v>23</v>
      </c>
      <c r="S25" s="7" t="str">
        <f t="shared" ref="S25:S27" si="15">IFERROR(R25-P25,"Formado no Clube")</f>
        <v>Formado no Clube</v>
      </c>
      <c r="T25" s="3">
        <f t="shared" si="1"/>
        <v>44.78</v>
      </c>
      <c r="U25" s="16">
        <f t="shared" si="2"/>
        <v>1</v>
      </c>
      <c r="V25" s="16" t="str">
        <f t="shared" si="0"/>
        <v>N.A.</v>
      </c>
      <c r="W25" s="13">
        <f>2715+166+380</f>
        <v>3261</v>
      </c>
      <c r="X25" s="13">
        <f t="shared" si="3"/>
        <v>3261</v>
      </c>
    </row>
    <row r="26" spans="2:24" ht="23.4" x14ac:dyDescent="0.3">
      <c r="B26" s="18">
        <f t="shared" si="4"/>
        <v>23</v>
      </c>
      <c r="C26" s="2" t="s">
        <v>50</v>
      </c>
      <c r="D26" s="2" t="s">
        <v>112</v>
      </c>
      <c r="E26" s="11">
        <v>0</v>
      </c>
      <c r="F26" s="3">
        <v>41.5</v>
      </c>
      <c r="G26" s="9" t="s">
        <v>30</v>
      </c>
      <c r="H26" s="9" t="s">
        <v>24</v>
      </c>
      <c r="I26" s="9" t="s">
        <v>25</v>
      </c>
      <c r="J26" s="9" t="s">
        <v>57</v>
      </c>
      <c r="K26" s="5">
        <v>36569</v>
      </c>
      <c r="L26" s="5" t="s">
        <v>106</v>
      </c>
      <c r="M26" s="5">
        <v>44743</v>
      </c>
      <c r="N26" s="4">
        <f t="shared" si="5"/>
        <v>7</v>
      </c>
      <c r="O26" s="6" t="str">
        <f t="shared" si="11"/>
        <v>Formado no Clube</v>
      </c>
      <c r="P26" s="7" t="str">
        <f t="shared" si="12"/>
        <v>Formado no Clube</v>
      </c>
      <c r="Q26" s="6">
        <f t="shared" si="13"/>
        <v>22.383333333333333</v>
      </c>
      <c r="R26" s="7">
        <f t="shared" si="14"/>
        <v>22</v>
      </c>
      <c r="S26" s="7" t="str">
        <f t="shared" si="15"/>
        <v>Formado no Clube</v>
      </c>
      <c r="T26" s="3">
        <f t="shared" si="1"/>
        <v>41.5</v>
      </c>
      <c r="U26" s="16">
        <f t="shared" si="2"/>
        <v>1</v>
      </c>
      <c r="V26" s="16" t="str">
        <f t="shared" si="0"/>
        <v>N.A.</v>
      </c>
      <c r="W26" s="13">
        <f>2266+217+224</f>
        <v>2707</v>
      </c>
      <c r="X26" s="13">
        <f t="shared" si="3"/>
        <v>2707</v>
      </c>
    </row>
    <row r="27" spans="2:24" ht="23.4" x14ac:dyDescent="0.3">
      <c r="B27" s="18">
        <f t="shared" si="4"/>
        <v>24</v>
      </c>
      <c r="C27" s="2" t="s">
        <v>93</v>
      </c>
      <c r="D27" s="2" t="s">
        <v>112</v>
      </c>
      <c r="E27" s="9">
        <v>10.24</v>
      </c>
      <c r="F27" s="3">
        <v>41.5</v>
      </c>
      <c r="G27" s="9" t="s">
        <v>30</v>
      </c>
      <c r="H27" s="9" t="s">
        <v>94</v>
      </c>
      <c r="I27" s="9" t="s">
        <v>49</v>
      </c>
      <c r="J27" s="9" t="s">
        <v>58</v>
      </c>
      <c r="K27" s="5">
        <v>37604</v>
      </c>
      <c r="L27" s="5">
        <v>45170</v>
      </c>
      <c r="M27" s="5">
        <v>45531</v>
      </c>
      <c r="N27" s="4">
        <f t="shared" si="5"/>
        <v>8</v>
      </c>
      <c r="O27" s="6">
        <f t="shared" si="11"/>
        <v>20.713888888888889</v>
      </c>
      <c r="P27" s="7">
        <f t="shared" si="12"/>
        <v>20</v>
      </c>
      <c r="Q27" s="6">
        <f t="shared" si="13"/>
        <v>21.702777777777779</v>
      </c>
      <c r="R27" s="7">
        <f t="shared" si="14"/>
        <v>21</v>
      </c>
      <c r="S27" s="7">
        <f t="shared" si="15"/>
        <v>1</v>
      </c>
      <c r="T27" s="3">
        <f t="shared" si="1"/>
        <v>31.259999999999998</v>
      </c>
      <c r="U27" s="16">
        <f t="shared" si="2"/>
        <v>0.75325301204819273</v>
      </c>
      <c r="V27" s="16">
        <f t="shared" si="0"/>
        <v>0.75325301204819273</v>
      </c>
      <c r="W27" s="13">
        <f>1895+238</f>
        <v>2133</v>
      </c>
      <c r="X27" s="13">
        <f t="shared" si="3"/>
        <v>2133</v>
      </c>
    </row>
    <row r="28" spans="2:24" ht="23.4" x14ac:dyDescent="0.3">
      <c r="B28" s="18">
        <f t="shared" si="4"/>
        <v>25</v>
      </c>
      <c r="C28" s="2" t="s">
        <v>75</v>
      </c>
      <c r="D28" s="2" t="s">
        <v>118</v>
      </c>
      <c r="E28" s="9">
        <v>22</v>
      </c>
      <c r="F28" s="3">
        <v>41</v>
      </c>
      <c r="G28" s="9" t="s">
        <v>10</v>
      </c>
      <c r="H28" s="9" t="s">
        <v>43</v>
      </c>
      <c r="I28" s="9" t="s">
        <v>15</v>
      </c>
      <c r="J28" s="9" t="s">
        <v>54</v>
      </c>
      <c r="K28" s="5">
        <v>33363</v>
      </c>
      <c r="L28" s="5">
        <v>42229</v>
      </c>
      <c r="M28" s="5">
        <v>43282</v>
      </c>
      <c r="N28" s="4">
        <f t="shared" si="5"/>
        <v>7</v>
      </c>
      <c r="O28" s="6">
        <f t="shared" ref="O28:O43" si="16">IFERROR(YEARFRAC(K28,L28),"Formado no Clube")</f>
        <v>24.272222222222222</v>
      </c>
      <c r="P28" s="7">
        <f t="shared" ref="P28:P43" si="17">IFERROR(DATEDIF(K28,L28,"Y"),"Formado no Clube")</f>
        <v>24</v>
      </c>
      <c r="Q28" s="6">
        <f t="shared" ref="Q28:Q43" si="18">YEARFRAC(K28,M28)</f>
        <v>27.155555555555555</v>
      </c>
      <c r="R28" s="7">
        <f t="shared" ref="R28:R43" si="19">DATEDIF(K28,M28,"Y")</f>
        <v>27</v>
      </c>
      <c r="S28" s="7">
        <f t="shared" ref="S28:S43" si="20">IFERROR(R28-P28,"Formado no Clube")</f>
        <v>3</v>
      </c>
      <c r="T28" s="3">
        <f t="shared" si="1"/>
        <v>19</v>
      </c>
      <c r="U28" s="16">
        <f t="shared" si="2"/>
        <v>0.46341463414634149</v>
      </c>
      <c r="V28" s="16">
        <f t="shared" si="0"/>
        <v>0.46341463414634149</v>
      </c>
      <c r="W28" s="13">
        <f>973+307</f>
        <v>1280</v>
      </c>
      <c r="X28" s="13">
        <f t="shared" si="3"/>
        <v>1280</v>
      </c>
    </row>
    <row r="29" spans="2:24" ht="23.4" x14ac:dyDescent="0.3">
      <c r="B29" s="18">
        <f t="shared" si="4"/>
        <v>26</v>
      </c>
      <c r="C29" s="2" t="s">
        <v>61</v>
      </c>
      <c r="D29" s="2" t="s">
        <v>116</v>
      </c>
      <c r="E29" s="9">
        <v>22</v>
      </c>
      <c r="F29" s="3">
        <v>40</v>
      </c>
      <c r="G29" s="9" t="s">
        <v>10</v>
      </c>
      <c r="H29" s="9" t="s">
        <v>62</v>
      </c>
      <c r="I29" s="9" t="s">
        <v>34</v>
      </c>
      <c r="J29" s="9" t="s">
        <v>54</v>
      </c>
      <c r="K29" s="5">
        <v>37743</v>
      </c>
      <c r="L29" s="5">
        <v>45295</v>
      </c>
      <c r="M29" s="5">
        <v>45537</v>
      </c>
      <c r="N29" s="4">
        <f t="shared" si="5"/>
        <v>9</v>
      </c>
      <c r="O29" s="6">
        <f t="shared" si="16"/>
        <v>20.672222222222221</v>
      </c>
      <c r="P29" s="7">
        <f t="shared" si="17"/>
        <v>20</v>
      </c>
      <c r="Q29" s="6">
        <f t="shared" si="18"/>
        <v>21.333333333333332</v>
      </c>
      <c r="R29" s="7">
        <f t="shared" si="19"/>
        <v>21</v>
      </c>
      <c r="S29" s="7">
        <f t="shared" si="20"/>
        <v>1</v>
      </c>
      <c r="T29" s="3">
        <f t="shared" si="1"/>
        <v>18</v>
      </c>
      <c r="U29" s="16">
        <f t="shared" si="2"/>
        <v>0.45</v>
      </c>
      <c r="V29" s="16">
        <f t="shared" si="0"/>
        <v>0.45</v>
      </c>
      <c r="W29" s="13">
        <f>324+91</f>
        <v>415</v>
      </c>
      <c r="X29" s="13">
        <f t="shared" si="3"/>
        <v>415</v>
      </c>
    </row>
    <row r="30" spans="2:24" ht="23.4" x14ac:dyDescent="0.3">
      <c r="B30" s="18">
        <f t="shared" si="4"/>
        <v>27</v>
      </c>
      <c r="C30" s="2" t="s">
        <v>66</v>
      </c>
      <c r="D30" s="2" t="s">
        <v>112</v>
      </c>
      <c r="E30" s="11">
        <v>0</v>
      </c>
      <c r="F30" s="3">
        <v>40</v>
      </c>
      <c r="G30" s="9" t="s">
        <v>30</v>
      </c>
      <c r="H30" s="9" t="s">
        <v>43</v>
      </c>
      <c r="I30" s="9" t="s">
        <v>15</v>
      </c>
      <c r="J30" s="9" t="s">
        <v>54</v>
      </c>
      <c r="K30" s="5">
        <v>37456</v>
      </c>
      <c r="L30" s="5" t="s">
        <v>106</v>
      </c>
      <c r="M30" s="5">
        <v>44079</v>
      </c>
      <c r="N30" s="4">
        <f t="shared" si="5"/>
        <v>9</v>
      </c>
      <c r="O30" s="6" t="str">
        <f t="shared" si="16"/>
        <v>Formado no Clube</v>
      </c>
      <c r="P30" s="7" t="str">
        <f t="shared" si="17"/>
        <v>Formado no Clube</v>
      </c>
      <c r="Q30" s="6">
        <f t="shared" si="18"/>
        <v>18.127777777777776</v>
      </c>
      <c r="R30" s="7">
        <f t="shared" si="19"/>
        <v>18</v>
      </c>
      <c r="S30" s="7" t="str">
        <f t="shared" si="20"/>
        <v>Formado no Clube</v>
      </c>
      <c r="T30" s="3">
        <f t="shared" si="1"/>
        <v>40</v>
      </c>
      <c r="U30" s="16">
        <f t="shared" si="2"/>
        <v>1</v>
      </c>
      <c r="V30" s="16" t="str">
        <f t="shared" si="0"/>
        <v>N.A.</v>
      </c>
      <c r="W30" s="13">
        <f>183+34</f>
        <v>217</v>
      </c>
      <c r="X30" s="13">
        <f t="shared" si="3"/>
        <v>217</v>
      </c>
    </row>
    <row r="31" spans="2:24" ht="23.4" x14ac:dyDescent="0.3">
      <c r="B31" s="18">
        <f t="shared" si="4"/>
        <v>28</v>
      </c>
      <c r="C31" s="2" t="s">
        <v>67</v>
      </c>
      <c r="D31" s="2" t="s">
        <v>116</v>
      </c>
      <c r="E31" s="9">
        <v>10.5</v>
      </c>
      <c r="F31" s="3">
        <v>40</v>
      </c>
      <c r="G31" s="9" t="s">
        <v>10</v>
      </c>
      <c r="H31" s="9" t="s">
        <v>19</v>
      </c>
      <c r="I31" s="9" t="s">
        <v>15</v>
      </c>
      <c r="J31" s="9" t="s">
        <v>68</v>
      </c>
      <c r="K31" s="5">
        <v>34198</v>
      </c>
      <c r="L31" s="5">
        <v>42186</v>
      </c>
      <c r="M31" s="5">
        <v>42917</v>
      </c>
      <c r="N31" s="4">
        <f t="shared" si="5"/>
        <v>7</v>
      </c>
      <c r="O31" s="6">
        <f t="shared" si="16"/>
        <v>21.872222222222224</v>
      </c>
      <c r="P31" s="7">
        <f t="shared" si="17"/>
        <v>21</v>
      </c>
      <c r="Q31" s="6">
        <f t="shared" si="18"/>
        <v>23.872222222222224</v>
      </c>
      <c r="R31" s="7">
        <f t="shared" si="19"/>
        <v>23</v>
      </c>
      <c r="S31" s="7">
        <f t="shared" si="20"/>
        <v>2</v>
      </c>
      <c r="T31" s="3">
        <f t="shared" si="1"/>
        <v>29.5</v>
      </c>
      <c r="U31" s="16">
        <f t="shared" si="2"/>
        <v>0.73750000000000004</v>
      </c>
      <c r="V31" s="16">
        <f t="shared" si="0"/>
        <v>0.73750000000000004</v>
      </c>
      <c r="W31" s="13">
        <f>2382+630</f>
        <v>3012</v>
      </c>
      <c r="X31" s="13">
        <f t="shared" si="3"/>
        <v>3012</v>
      </c>
    </row>
    <row r="32" spans="2:24" ht="23.4" x14ac:dyDescent="0.3">
      <c r="B32" s="18">
        <f t="shared" si="4"/>
        <v>29</v>
      </c>
      <c r="C32" s="2" t="s">
        <v>69</v>
      </c>
      <c r="D32" s="2" t="s">
        <v>116</v>
      </c>
      <c r="E32" s="9">
        <v>19</v>
      </c>
      <c r="F32" s="3">
        <v>40</v>
      </c>
      <c r="G32" s="9" t="s">
        <v>30</v>
      </c>
      <c r="H32" s="9" t="s">
        <v>70</v>
      </c>
      <c r="I32" s="9" t="s">
        <v>71</v>
      </c>
      <c r="J32" s="9" t="s">
        <v>58</v>
      </c>
      <c r="K32" s="5">
        <v>31618</v>
      </c>
      <c r="L32" s="5">
        <v>39654</v>
      </c>
      <c r="M32" s="5">
        <v>41155</v>
      </c>
      <c r="N32" s="4">
        <f t="shared" si="5"/>
        <v>9</v>
      </c>
      <c r="O32" s="6">
        <f t="shared" si="16"/>
        <v>22</v>
      </c>
      <c r="P32" s="7">
        <f t="shared" si="17"/>
        <v>22</v>
      </c>
      <c r="Q32" s="6">
        <f t="shared" si="18"/>
        <v>26.105555555555554</v>
      </c>
      <c r="R32" s="7">
        <f t="shared" si="19"/>
        <v>26</v>
      </c>
      <c r="S32" s="7">
        <f t="shared" si="20"/>
        <v>4</v>
      </c>
      <c r="T32" s="3">
        <f t="shared" si="1"/>
        <v>21</v>
      </c>
      <c r="U32" s="16">
        <f t="shared" si="2"/>
        <v>0.52500000000000002</v>
      </c>
      <c r="V32" s="16">
        <f t="shared" si="0"/>
        <v>0.52500000000000002</v>
      </c>
      <c r="W32" s="13">
        <f>2061+528+180+90</f>
        <v>2859</v>
      </c>
      <c r="X32" s="13">
        <f t="shared" si="3"/>
        <v>2859</v>
      </c>
    </row>
    <row r="33" spans="2:24" ht="23.4" x14ac:dyDescent="0.3">
      <c r="B33" s="18">
        <f t="shared" si="4"/>
        <v>30</v>
      </c>
      <c r="C33" s="2" t="s">
        <v>72</v>
      </c>
      <c r="D33" s="2" t="s">
        <v>119</v>
      </c>
      <c r="E33" s="9">
        <v>9</v>
      </c>
      <c r="F33" s="3">
        <v>40</v>
      </c>
      <c r="G33" s="9" t="s">
        <v>10</v>
      </c>
      <c r="H33" s="9" t="s">
        <v>70</v>
      </c>
      <c r="I33" s="9" t="s">
        <v>71</v>
      </c>
      <c r="J33" s="9" t="s">
        <v>53</v>
      </c>
      <c r="K33" s="5">
        <v>32520</v>
      </c>
      <c r="L33" s="5">
        <v>40737</v>
      </c>
      <c r="M33" s="5">
        <v>41155</v>
      </c>
      <c r="N33" s="4">
        <f t="shared" si="5"/>
        <v>9</v>
      </c>
      <c r="O33" s="6">
        <f t="shared" si="16"/>
        <v>22.502777777777776</v>
      </c>
      <c r="P33" s="7">
        <f t="shared" si="17"/>
        <v>22</v>
      </c>
      <c r="Q33" s="6">
        <f t="shared" si="18"/>
        <v>23.641666666666666</v>
      </c>
      <c r="R33" s="7">
        <f t="shared" si="19"/>
        <v>23</v>
      </c>
      <c r="S33" s="7">
        <f t="shared" si="20"/>
        <v>1</v>
      </c>
      <c r="T33" s="3">
        <f t="shared" si="1"/>
        <v>31</v>
      </c>
      <c r="U33" s="16">
        <f t="shared" si="2"/>
        <v>0.77500000000000002</v>
      </c>
      <c r="V33" s="16">
        <f t="shared" si="0"/>
        <v>0.77500000000000002</v>
      </c>
      <c r="W33" s="13">
        <f>2290+900+286</f>
        <v>3476</v>
      </c>
      <c r="X33" s="13">
        <f t="shared" si="3"/>
        <v>3476</v>
      </c>
    </row>
    <row r="34" spans="2:24" ht="23.4" x14ac:dyDescent="0.3">
      <c r="B34" s="18">
        <f t="shared" si="4"/>
        <v>31</v>
      </c>
      <c r="C34" s="2" t="s">
        <v>73</v>
      </c>
      <c r="D34" s="2" t="s">
        <v>117</v>
      </c>
      <c r="E34" s="9">
        <v>5.43</v>
      </c>
      <c r="F34" s="3">
        <v>40</v>
      </c>
      <c r="G34" s="9" t="s">
        <v>30</v>
      </c>
      <c r="H34" s="9" t="s">
        <v>11</v>
      </c>
      <c r="I34" s="9" t="s">
        <v>12</v>
      </c>
      <c r="J34" s="9" t="s">
        <v>54</v>
      </c>
      <c r="K34" s="5">
        <v>31453</v>
      </c>
      <c r="L34" s="5">
        <v>40009</v>
      </c>
      <c r="M34" s="5">
        <v>40773</v>
      </c>
      <c r="N34" s="4">
        <f t="shared" si="5"/>
        <v>8</v>
      </c>
      <c r="O34" s="6">
        <f t="shared" si="16"/>
        <v>23.430555555555557</v>
      </c>
      <c r="P34" s="7">
        <f t="shared" si="17"/>
        <v>23</v>
      </c>
      <c r="Q34" s="6">
        <f t="shared" si="18"/>
        <v>25.522222222222222</v>
      </c>
      <c r="R34" s="7">
        <f t="shared" si="19"/>
        <v>25</v>
      </c>
      <c r="S34" s="7">
        <f t="shared" si="20"/>
        <v>2</v>
      </c>
      <c r="T34" s="3">
        <f t="shared" si="1"/>
        <v>34.57</v>
      </c>
      <c r="U34" s="16">
        <f t="shared" si="2"/>
        <v>0.86424999999999996</v>
      </c>
      <c r="V34" s="16">
        <f t="shared" si="0"/>
        <v>0.86424999999999996</v>
      </c>
      <c r="W34" s="13">
        <f>1794+1097+141</f>
        <v>3032</v>
      </c>
      <c r="X34" s="13">
        <f t="shared" si="3"/>
        <v>3032</v>
      </c>
    </row>
    <row r="35" spans="2:24" ht="23.4" x14ac:dyDescent="0.3">
      <c r="B35" s="18">
        <f t="shared" si="4"/>
        <v>32</v>
      </c>
      <c r="C35" s="2" t="s">
        <v>76</v>
      </c>
      <c r="D35" s="2" t="s">
        <v>112</v>
      </c>
      <c r="E35" s="11">
        <v>0</v>
      </c>
      <c r="F35" s="3">
        <v>38</v>
      </c>
      <c r="G35" s="9" t="s">
        <v>30</v>
      </c>
      <c r="H35" s="9" t="s">
        <v>77</v>
      </c>
      <c r="I35" s="9" t="s">
        <v>49</v>
      </c>
      <c r="J35" s="9" t="s">
        <v>54</v>
      </c>
      <c r="K35" s="5">
        <v>35009</v>
      </c>
      <c r="L35" s="5" t="s">
        <v>106</v>
      </c>
      <c r="M35" s="5">
        <v>42917</v>
      </c>
      <c r="N35" s="4">
        <f t="shared" si="5"/>
        <v>7</v>
      </c>
      <c r="O35" s="6" t="str">
        <f t="shared" si="16"/>
        <v>Formado no Clube</v>
      </c>
      <c r="P35" s="7" t="str">
        <f t="shared" si="17"/>
        <v>Formado no Clube</v>
      </c>
      <c r="Q35" s="6">
        <f t="shared" si="18"/>
        <v>21.652777777777779</v>
      </c>
      <c r="R35" s="7">
        <f t="shared" si="19"/>
        <v>21</v>
      </c>
      <c r="S35" s="7" t="str">
        <f t="shared" si="20"/>
        <v>Formado no Clube</v>
      </c>
      <c r="T35" s="3">
        <f t="shared" si="1"/>
        <v>38</v>
      </c>
      <c r="U35" s="16">
        <f t="shared" si="2"/>
        <v>1</v>
      </c>
      <c r="V35" s="16" t="str">
        <f t="shared" si="0"/>
        <v>N.A.</v>
      </c>
      <c r="W35" s="13">
        <f>2456+603+156</f>
        <v>3215</v>
      </c>
      <c r="X35" s="13">
        <f t="shared" si="3"/>
        <v>3215</v>
      </c>
    </row>
    <row r="36" spans="2:24" ht="23.4" x14ac:dyDescent="0.3">
      <c r="B36" s="18">
        <f t="shared" si="4"/>
        <v>33</v>
      </c>
      <c r="C36" s="2" t="s">
        <v>78</v>
      </c>
      <c r="D36" s="2" t="s">
        <v>116</v>
      </c>
      <c r="E36" s="9">
        <v>12.05</v>
      </c>
      <c r="F36" s="3">
        <v>37</v>
      </c>
      <c r="G36" s="9" t="s">
        <v>30</v>
      </c>
      <c r="H36" s="9" t="s">
        <v>79</v>
      </c>
      <c r="I36" s="9" t="s">
        <v>15</v>
      </c>
      <c r="J36" s="9" t="s">
        <v>54</v>
      </c>
      <c r="K36" s="5">
        <v>36439</v>
      </c>
      <c r="L36" s="5">
        <v>44083</v>
      </c>
      <c r="M36" s="5">
        <v>45520</v>
      </c>
      <c r="N36" s="4">
        <f t="shared" si="5"/>
        <v>8</v>
      </c>
      <c r="O36" s="6">
        <f t="shared" si="16"/>
        <v>20.925000000000001</v>
      </c>
      <c r="P36" s="7">
        <f t="shared" si="17"/>
        <v>20</v>
      </c>
      <c r="Q36" s="6">
        <f t="shared" si="18"/>
        <v>24.861111111111111</v>
      </c>
      <c r="R36" s="7">
        <f t="shared" si="19"/>
        <v>24</v>
      </c>
      <c r="S36" s="7">
        <f t="shared" si="20"/>
        <v>4</v>
      </c>
      <c r="T36" s="3">
        <f t="shared" si="1"/>
        <v>24.95</v>
      </c>
      <c r="U36" s="16">
        <f t="shared" si="2"/>
        <v>0.67432432432432432</v>
      </c>
      <c r="V36" s="16">
        <f t="shared" si="0"/>
        <v>0.67432432432432432</v>
      </c>
      <c r="W36" s="13">
        <f>2072+490</f>
        <v>2562</v>
      </c>
      <c r="X36" s="13">
        <f t="shared" si="3"/>
        <v>2562</v>
      </c>
    </row>
    <row r="37" spans="2:24" ht="23.4" x14ac:dyDescent="0.3">
      <c r="B37" s="18">
        <f t="shared" si="4"/>
        <v>34</v>
      </c>
      <c r="C37" s="2" t="s">
        <v>80</v>
      </c>
      <c r="D37" s="2" t="s">
        <v>112</v>
      </c>
      <c r="E37" s="11">
        <v>0</v>
      </c>
      <c r="F37" s="3">
        <v>35.700000000000003</v>
      </c>
      <c r="G37" s="9" t="s">
        <v>10</v>
      </c>
      <c r="H37" s="9" t="s">
        <v>81</v>
      </c>
      <c r="I37" s="9" t="s">
        <v>12</v>
      </c>
      <c r="J37" s="9" t="s">
        <v>65</v>
      </c>
      <c r="K37" s="5">
        <v>34289</v>
      </c>
      <c r="L37" s="5">
        <v>41091</v>
      </c>
      <c r="M37" s="5">
        <v>42930</v>
      </c>
      <c r="N37" s="4">
        <f t="shared" si="5"/>
        <v>7</v>
      </c>
      <c r="O37" s="6">
        <f t="shared" si="16"/>
        <v>18.625</v>
      </c>
      <c r="P37" s="7">
        <f t="shared" si="17"/>
        <v>18</v>
      </c>
      <c r="Q37" s="6">
        <f t="shared" si="18"/>
        <v>23.661111111111111</v>
      </c>
      <c r="R37" s="7">
        <f t="shared" si="19"/>
        <v>23</v>
      </c>
      <c r="S37" s="7">
        <f t="shared" si="20"/>
        <v>5</v>
      </c>
      <c r="T37" s="3">
        <f t="shared" si="1"/>
        <v>35.700000000000003</v>
      </c>
      <c r="U37" s="16">
        <f t="shared" si="2"/>
        <v>1</v>
      </c>
      <c r="V37" s="16" t="str">
        <f t="shared" si="0"/>
        <v>N.A.</v>
      </c>
      <c r="W37" s="13">
        <f>2781+720</f>
        <v>3501</v>
      </c>
      <c r="X37" s="13">
        <f t="shared" si="3"/>
        <v>3501</v>
      </c>
    </row>
    <row r="38" spans="2:24" ht="23.4" x14ac:dyDescent="0.3">
      <c r="B38" s="18">
        <f>B37+1</f>
        <v>35</v>
      </c>
      <c r="C38" s="2" t="s">
        <v>82</v>
      </c>
      <c r="D38" s="2" t="s">
        <v>112</v>
      </c>
      <c r="E38" s="11">
        <v>0</v>
      </c>
      <c r="F38" s="3">
        <v>35</v>
      </c>
      <c r="G38" s="9" t="s">
        <v>30</v>
      </c>
      <c r="H38" s="9" t="s">
        <v>22</v>
      </c>
      <c r="I38" s="9" t="s">
        <v>15</v>
      </c>
      <c r="J38" s="9" t="s">
        <v>56</v>
      </c>
      <c r="K38" s="5">
        <v>36676</v>
      </c>
      <c r="L38" s="5" t="s">
        <v>106</v>
      </c>
      <c r="M38" s="5">
        <v>44743</v>
      </c>
      <c r="N38" s="4">
        <f t="shared" si="5"/>
        <v>7</v>
      </c>
      <c r="O38" s="6" t="str">
        <f t="shared" si="16"/>
        <v>Formado no Clube</v>
      </c>
      <c r="P38" s="7" t="str">
        <f t="shared" si="17"/>
        <v>Formado no Clube</v>
      </c>
      <c r="Q38" s="6">
        <f t="shared" si="18"/>
        <v>22.086111111111112</v>
      </c>
      <c r="R38" s="7">
        <f t="shared" si="19"/>
        <v>22</v>
      </c>
      <c r="S38" s="7" t="str">
        <f t="shared" si="20"/>
        <v>Formado no Clube</v>
      </c>
      <c r="T38" s="3">
        <f t="shared" si="1"/>
        <v>35</v>
      </c>
      <c r="U38" s="16">
        <f t="shared" si="2"/>
        <v>1</v>
      </c>
      <c r="V38" s="16" t="str">
        <f t="shared" si="0"/>
        <v>N.A.</v>
      </c>
      <c r="W38" s="13">
        <f>1330+145+84</f>
        <v>1559</v>
      </c>
      <c r="X38" s="13">
        <f t="shared" si="3"/>
        <v>1559</v>
      </c>
    </row>
    <row r="39" spans="2:24" ht="23.4" x14ac:dyDescent="0.3">
      <c r="B39" s="18">
        <f t="shared" si="4"/>
        <v>36</v>
      </c>
      <c r="C39" s="2" t="s">
        <v>83</v>
      </c>
      <c r="D39" s="2" t="s">
        <v>120</v>
      </c>
      <c r="E39" s="9" t="s">
        <v>106</v>
      </c>
      <c r="F39" s="3">
        <v>35</v>
      </c>
      <c r="G39" s="9" t="s">
        <v>84</v>
      </c>
      <c r="H39" s="9" t="s">
        <v>85</v>
      </c>
      <c r="I39" s="9" t="s">
        <v>86</v>
      </c>
      <c r="J39" s="9" t="s">
        <v>60</v>
      </c>
      <c r="K39" s="5">
        <v>34569</v>
      </c>
      <c r="L39" s="5">
        <v>42976</v>
      </c>
      <c r="M39" s="5">
        <v>43499</v>
      </c>
      <c r="N39" s="4">
        <f t="shared" si="5"/>
        <v>2</v>
      </c>
      <c r="O39" s="6">
        <f t="shared" si="16"/>
        <v>23.016666666666666</v>
      </c>
      <c r="P39" s="7">
        <f t="shared" si="17"/>
        <v>23</v>
      </c>
      <c r="Q39" s="6">
        <f t="shared" si="18"/>
        <v>24.444444444444443</v>
      </c>
      <c r="R39" s="7">
        <f t="shared" si="19"/>
        <v>24</v>
      </c>
      <c r="S39" s="7">
        <f t="shared" si="20"/>
        <v>1</v>
      </c>
      <c r="T39" s="3" t="str">
        <f t="shared" si="1"/>
        <v>N/A</v>
      </c>
      <c r="U39" s="16" t="str">
        <f t="shared" si="2"/>
        <v>N.A.</v>
      </c>
      <c r="V39" s="16" t="str">
        <f>IFERROR(IF(T39/F39&lt;1,T39/F39,"N.A."),"N.A.")</f>
        <v>N.A.</v>
      </c>
      <c r="W39" s="13">
        <f>1167</f>
        <v>1167</v>
      </c>
      <c r="X39" s="13">
        <f t="shared" si="3"/>
        <v>2042.25</v>
      </c>
    </row>
    <row r="40" spans="2:24" ht="23.4" x14ac:dyDescent="0.3">
      <c r="B40" s="18">
        <f t="shared" si="4"/>
        <v>37</v>
      </c>
      <c r="C40" s="2" t="s">
        <v>87</v>
      </c>
      <c r="D40" s="2" t="s">
        <v>115</v>
      </c>
      <c r="E40" s="9">
        <v>3.06</v>
      </c>
      <c r="F40" s="3">
        <v>35</v>
      </c>
      <c r="G40" s="9" t="s">
        <v>10</v>
      </c>
      <c r="H40" s="9" t="s">
        <v>28</v>
      </c>
      <c r="I40" s="9" t="s">
        <v>15</v>
      </c>
      <c r="J40" s="9" t="s">
        <v>55</v>
      </c>
      <c r="K40" s="5">
        <v>34532</v>
      </c>
      <c r="L40" s="5">
        <v>41091</v>
      </c>
      <c r="M40" s="5">
        <v>42917</v>
      </c>
      <c r="N40" s="4">
        <f t="shared" si="5"/>
        <v>7</v>
      </c>
      <c r="O40" s="6">
        <f t="shared" si="16"/>
        <v>17.955555555555556</v>
      </c>
      <c r="P40" s="7">
        <f t="shared" si="17"/>
        <v>17</v>
      </c>
      <c r="Q40" s="6">
        <f t="shared" si="18"/>
        <v>22.955555555555556</v>
      </c>
      <c r="R40" s="7">
        <f t="shared" si="19"/>
        <v>22</v>
      </c>
      <c r="S40" s="7">
        <f t="shared" si="20"/>
        <v>5</v>
      </c>
      <c r="T40" s="3">
        <f t="shared" si="1"/>
        <v>31.94</v>
      </c>
      <c r="U40" s="16">
        <f t="shared" si="2"/>
        <v>0.91257142857142859</v>
      </c>
      <c r="V40" s="16">
        <f t="shared" ref="V40:V49" si="21">IFERROR(IF(T40/F40&lt;1,T40/F40,"N.A."),"N.A.")</f>
        <v>0.91257142857142859</v>
      </c>
      <c r="W40" s="13">
        <f>2880+720</f>
        <v>3600</v>
      </c>
      <c r="X40" s="13">
        <f t="shared" si="3"/>
        <v>3600</v>
      </c>
    </row>
    <row r="41" spans="2:24" ht="23.4" x14ac:dyDescent="0.3">
      <c r="B41" s="18">
        <f t="shared" si="4"/>
        <v>38</v>
      </c>
      <c r="C41" s="2" t="s">
        <v>88</v>
      </c>
      <c r="D41" s="2" t="s">
        <v>112</v>
      </c>
      <c r="E41" s="11">
        <v>0</v>
      </c>
      <c r="F41" s="3">
        <v>35</v>
      </c>
      <c r="G41" s="9" t="s">
        <v>10</v>
      </c>
      <c r="H41" s="9" t="s">
        <v>89</v>
      </c>
      <c r="I41" s="9" t="s">
        <v>90</v>
      </c>
      <c r="J41" s="9" t="s">
        <v>53</v>
      </c>
      <c r="K41" s="5">
        <v>35660</v>
      </c>
      <c r="L41" s="5" t="s">
        <v>106</v>
      </c>
      <c r="M41" s="5">
        <v>42552</v>
      </c>
      <c r="N41" s="4">
        <f t="shared" si="5"/>
        <v>7</v>
      </c>
      <c r="O41" s="6" t="str">
        <f t="shared" si="16"/>
        <v>Formado no Clube</v>
      </c>
      <c r="P41" s="7" t="str">
        <f t="shared" si="17"/>
        <v>Formado no Clube</v>
      </c>
      <c r="Q41" s="6">
        <f t="shared" si="18"/>
        <v>18.869444444444444</v>
      </c>
      <c r="R41" s="7">
        <f t="shared" si="19"/>
        <v>18</v>
      </c>
      <c r="S41" s="7" t="str">
        <f t="shared" si="20"/>
        <v>Formado no Clube</v>
      </c>
      <c r="T41" s="3">
        <f t="shared" si="1"/>
        <v>35</v>
      </c>
      <c r="U41" s="16">
        <f t="shared" si="2"/>
        <v>1</v>
      </c>
      <c r="V41" s="16" t="str">
        <f t="shared" si="21"/>
        <v>N.A.</v>
      </c>
      <c r="W41" s="13">
        <f>1906+540</f>
        <v>2446</v>
      </c>
      <c r="X41" s="13">
        <f t="shared" si="3"/>
        <v>2446</v>
      </c>
    </row>
    <row r="42" spans="2:24" ht="23.4" x14ac:dyDescent="0.3">
      <c r="B42" s="18">
        <f t="shared" si="4"/>
        <v>39</v>
      </c>
      <c r="C42" s="2" t="s">
        <v>91</v>
      </c>
      <c r="D42" s="2" t="s">
        <v>117</v>
      </c>
      <c r="E42" s="9">
        <v>8.89</v>
      </c>
      <c r="F42" s="3">
        <v>35</v>
      </c>
      <c r="G42" s="9" t="s">
        <v>30</v>
      </c>
      <c r="H42" s="9" t="s">
        <v>11</v>
      </c>
      <c r="I42" s="9" t="s">
        <v>12</v>
      </c>
      <c r="J42" s="9" t="s">
        <v>54</v>
      </c>
      <c r="K42" s="5">
        <v>31688</v>
      </c>
      <c r="L42" s="5">
        <v>41097</v>
      </c>
      <c r="M42" s="5">
        <v>42200</v>
      </c>
      <c r="N42" s="4">
        <f t="shared" si="5"/>
        <v>7</v>
      </c>
      <c r="O42" s="6">
        <f t="shared" si="16"/>
        <v>25.761111111111113</v>
      </c>
      <c r="P42" s="7">
        <f t="shared" si="17"/>
        <v>25</v>
      </c>
      <c r="Q42" s="6">
        <f t="shared" si="18"/>
        <v>28.783333333333335</v>
      </c>
      <c r="R42" s="7">
        <f t="shared" si="19"/>
        <v>28</v>
      </c>
      <c r="S42" s="7">
        <f t="shared" si="20"/>
        <v>3</v>
      </c>
      <c r="T42" s="3">
        <f t="shared" si="1"/>
        <v>26.11</v>
      </c>
      <c r="U42" s="16">
        <f t="shared" si="2"/>
        <v>0.746</v>
      </c>
      <c r="V42" s="16">
        <f t="shared" si="21"/>
        <v>0.746</v>
      </c>
      <c r="W42" s="13">
        <f>2551+629+180</f>
        <v>3360</v>
      </c>
      <c r="X42" s="13">
        <f t="shared" si="3"/>
        <v>3360</v>
      </c>
    </row>
    <row r="43" spans="2:24" ht="23.4" x14ac:dyDescent="0.3">
      <c r="B43" s="18">
        <f t="shared" si="4"/>
        <v>40</v>
      </c>
      <c r="C43" s="2" t="s">
        <v>92</v>
      </c>
      <c r="D43" s="2" t="s">
        <v>113</v>
      </c>
      <c r="E43" s="9">
        <v>8</v>
      </c>
      <c r="F43" s="3">
        <v>33</v>
      </c>
      <c r="G43" s="9" t="s">
        <v>10</v>
      </c>
      <c r="H43" s="9" t="s">
        <v>37</v>
      </c>
      <c r="I43" s="9" t="s">
        <v>12</v>
      </c>
      <c r="J43" s="9" t="s">
        <v>58</v>
      </c>
      <c r="K43" s="5">
        <v>32187</v>
      </c>
      <c r="L43" s="5">
        <v>39290</v>
      </c>
      <c r="M43" s="5">
        <v>40360</v>
      </c>
      <c r="N43" s="4">
        <f t="shared" si="5"/>
        <v>7</v>
      </c>
      <c r="O43" s="6">
        <f t="shared" si="16"/>
        <v>19.452777777777779</v>
      </c>
      <c r="P43" s="7">
        <f t="shared" si="17"/>
        <v>19</v>
      </c>
      <c r="Q43" s="6">
        <f t="shared" si="18"/>
        <v>22.380555555555556</v>
      </c>
      <c r="R43" s="7">
        <f t="shared" si="19"/>
        <v>22</v>
      </c>
      <c r="S43" s="7">
        <f t="shared" si="20"/>
        <v>3</v>
      </c>
      <c r="T43" s="3">
        <f t="shared" si="1"/>
        <v>25</v>
      </c>
      <c r="U43" s="16">
        <f t="shared" si="2"/>
        <v>0.75757575757575757</v>
      </c>
      <c r="V43" s="16">
        <f t="shared" si="21"/>
        <v>0.75757575757575757</v>
      </c>
      <c r="W43" s="13">
        <f>2248+972+117</f>
        <v>3337</v>
      </c>
      <c r="X43" s="13">
        <f t="shared" si="3"/>
        <v>3337</v>
      </c>
    </row>
    <row r="44" spans="2:24" ht="23.4" x14ac:dyDescent="0.3">
      <c r="B44" s="18">
        <f t="shared" si="4"/>
        <v>41</v>
      </c>
      <c r="C44" s="2" t="s">
        <v>95</v>
      </c>
      <c r="D44" s="2" t="s">
        <v>112</v>
      </c>
      <c r="E44" s="11">
        <v>0</v>
      </c>
      <c r="F44" s="3">
        <v>32</v>
      </c>
      <c r="G44" s="9" t="s">
        <v>96</v>
      </c>
      <c r="H44" s="9" t="s">
        <v>97</v>
      </c>
      <c r="I44" s="9" t="s">
        <v>34</v>
      </c>
      <c r="J44" s="9" t="s">
        <v>58</v>
      </c>
      <c r="K44" s="5">
        <v>38677</v>
      </c>
      <c r="L44" s="5" t="s">
        <v>106</v>
      </c>
      <c r="M44" s="5">
        <v>45905</v>
      </c>
      <c r="N44" s="4">
        <f t="shared" si="5"/>
        <v>9</v>
      </c>
      <c r="O44" s="6" t="str">
        <f t="shared" si="6"/>
        <v>Formado no Clube</v>
      </c>
      <c r="P44" s="7" t="str">
        <f t="shared" si="7"/>
        <v>Formado no Clube</v>
      </c>
      <c r="Q44" s="6">
        <f t="shared" si="8"/>
        <v>19.788888888888888</v>
      </c>
      <c r="R44" s="7">
        <f t="shared" si="9"/>
        <v>19</v>
      </c>
      <c r="S44" s="7" t="str">
        <f t="shared" si="10"/>
        <v>Formado no Clube</v>
      </c>
      <c r="T44" s="3">
        <f t="shared" si="1"/>
        <v>32</v>
      </c>
      <c r="U44" s="16">
        <f t="shared" si="2"/>
        <v>1</v>
      </c>
      <c r="V44" s="16" t="str">
        <f t="shared" si="21"/>
        <v>N.A.</v>
      </c>
      <c r="W44" s="13">
        <f>1743+522+390</f>
        <v>2655</v>
      </c>
      <c r="X44" s="13">
        <f t="shared" si="3"/>
        <v>2655</v>
      </c>
    </row>
    <row r="45" spans="2:24" ht="23.4" x14ac:dyDescent="0.3">
      <c r="B45" s="18">
        <f t="shared" si="4"/>
        <v>42</v>
      </c>
      <c r="C45" s="2" t="s">
        <v>98</v>
      </c>
      <c r="D45" s="2" t="s">
        <v>112</v>
      </c>
      <c r="E45" s="11">
        <v>0</v>
      </c>
      <c r="F45" s="3">
        <v>32</v>
      </c>
      <c r="G45" s="9" t="s">
        <v>96</v>
      </c>
      <c r="H45" s="9" t="s">
        <v>99</v>
      </c>
      <c r="I45" s="9" t="s">
        <v>25</v>
      </c>
      <c r="J45" s="9" t="s">
        <v>54</v>
      </c>
      <c r="K45" s="5">
        <v>36600</v>
      </c>
      <c r="L45" s="5" t="s">
        <v>106</v>
      </c>
      <c r="M45" s="5">
        <v>44957</v>
      </c>
      <c r="N45" s="4">
        <f t="shared" si="5"/>
        <v>1</v>
      </c>
      <c r="O45" s="6" t="str">
        <f t="shared" si="6"/>
        <v>Formado no Clube</v>
      </c>
      <c r="P45" s="7" t="str">
        <f t="shared" si="7"/>
        <v>Formado no Clube</v>
      </c>
      <c r="Q45" s="6">
        <f t="shared" si="8"/>
        <v>22.877777777777776</v>
      </c>
      <c r="R45" s="7">
        <f t="shared" si="9"/>
        <v>22</v>
      </c>
      <c r="S45" s="7" t="str">
        <f t="shared" si="10"/>
        <v>Formado no Clube</v>
      </c>
      <c r="T45" s="3">
        <f t="shared" si="1"/>
        <v>32</v>
      </c>
      <c r="U45" s="16">
        <f t="shared" si="2"/>
        <v>1</v>
      </c>
      <c r="V45" s="16" t="str">
        <f t="shared" si="21"/>
        <v>N.A.</v>
      </c>
      <c r="W45" s="13">
        <f>1098+406</f>
        <v>1504</v>
      </c>
      <c r="X45" s="13">
        <f t="shared" si="3"/>
        <v>2632</v>
      </c>
    </row>
    <row r="46" spans="2:24" ht="23.4" x14ac:dyDescent="0.3">
      <c r="B46" s="18">
        <f t="shared" si="4"/>
        <v>43</v>
      </c>
      <c r="C46" s="2" t="s">
        <v>100</v>
      </c>
      <c r="D46" s="2" t="s">
        <v>116</v>
      </c>
      <c r="E46" s="9">
        <v>13</v>
      </c>
      <c r="F46" s="3">
        <v>31.5</v>
      </c>
      <c r="G46" s="9" t="s">
        <v>30</v>
      </c>
      <c r="H46" s="9" t="s">
        <v>37</v>
      </c>
      <c r="I46" s="9" t="s">
        <v>12</v>
      </c>
      <c r="J46" s="9" t="s">
        <v>65</v>
      </c>
      <c r="K46" s="5">
        <v>33434</v>
      </c>
      <c r="L46" s="5">
        <v>40725</v>
      </c>
      <c r="M46" s="5">
        <v>42186</v>
      </c>
      <c r="N46" s="4">
        <f t="shared" si="5"/>
        <v>7</v>
      </c>
      <c r="O46" s="6">
        <f t="shared" si="6"/>
        <v>19.961111111111112</v>
      </c>
      <c r="P46" s="7">
        <f t="shared" si="7"/>
        <v>19</v>
      </c>
      <c r="Q46" s="6">
        <f t="shared" si="8"/>
        <v>23.961111111111112</v>
      </c>
      <c r="R46" s="7">
        <f t="shared" si="9"/>
        <v>23</v>
      </c>
      <c r="S46" s="7">
        <f t="shared" si="10"/>
        <v>4</v>
      </c>
      <c r="T46" s="3">
        <f t="shared" si="1"/>
        <v>18.5</v>
      </c>
      <c r="U46" s="16">
        <f t="shared" si="2"/>
        <v>0.58730158730158732</v>
      </c>
      <c r="V46" s="16">
        <f t="shared" si="21"/>
        <v>0.58730158730158732</v>
      </c>
      <c r="W46" s="13">
        <f>2569+652+180</f>
        <v>3401</v>
      </c>
      <c r="X46" s="13">
        <f t="shared" si="3"/>
        <v>3401</v>
      </c>
    </row>
    <row r="47" spans="2:24" ht="23.4" x14ac:dyDescent="0.3">
      <c r="B47" s="18">
        <f t="shared" si="4"/>
        <v>44</v>
      </c>
      <c r="C47" s="2" t="s">
        <v>101</v>
      </c>
      <c r="D47" s="2" t="s">
        <v>116</v>
      </c>
      <c r="E47" s="9">
        <v>8</v>
      </c>
      <c r="F47" s="3">
        <v>31.5</v>
      </c>
      <c r="G47" s="9" t="s">
        <v>30</v>
      </c>
      <c r="H47" s="9" t="s">
        <v>28</v>
      </c>
      <c r="I47" s="9" t="s">
        <v>15</v>
      </c>
      <c r="J47" s="9" t="s">
        <v>53</v>
      </c>
      <c r="K47" s="5">
        <v>32246</v>
      </c>
      <c r="L47" s="5">
        <v>38718</v>
      </c>
      <c r="M47" s="5">
        <v>39265</v>
      </c>
      <c r="N47" s="4">
        <f t="shared" si="5"/>
        <v>7</v>
      </c>
      <c r="O47" s="6">
        <f t="shared" si="6"/>
        <v>17.716666666666665</v>
      </c>
      <c r="P47" s="7">
        <f t="shared" si="7"/>
        <v>17</v>
      </c>
      <c r="Q47" s="6">
        <f t="shared" si="8"/>
        <v>19.219444444444445</v>
      </c>
      <c r="R47" s="7">
        <f t="shared" si="9"/>
        <v>19</v>
      </c>
      <c r="S47" s="7">
        <f t="shared" si="10"/>
        <v>2</v>
      </c>
      <c r="T47" s="3">
        <f t="shared" si="1"/>
        <v>23.5</v>
      </c>
      <c r="U47" s="16">
        <f t="shared" si="2"/>
        <v>0.74603174603174605</v>
      </c>
      <c r="V47" s="16">
        <f t="shared" si="21"/>
        <v>0.74603174603174605</v>
      </c>
      <c r="W47" s="13">
        <f>852+199</f>
        <v>1051</v>
      </c>
      <c r="X47" s="13">
        <f t="shared" si="3"/>
        <v>1051</v>
      </c>
    </row>
    <row r="48" spans="2:24" ht="23.4" x14ac:dyDescent="0.3">
      <c r="B48" s="18">
        <f t="shared" si="4"/>
        <v>45</v>
      </c>
      <c r="C48" s="2" t="s">
        <v>102</v>
      </c>
      <c r="D48" s="2" t="s">
        <v>121</v>
      </c>
      <c r="E48" s="9">
        <v>0.3</v>
      </c>
      <c r="F48" s="3">
        <v>31</v>
      </c>
      <c r="G48" s="9" t="s">
        <v>21</v>
      </c>
      <c r="H48" s="9" t="s">
        <v>103</v>
      </c>
      <c r="I48" s="9" t="s">
        <v>15</v>
      </c>
      <c r="J48" s="9" t="s">
        <v>54</v>
      </c>
      <c r="K48" s="5">
        <v>32312</v>
      </c>
      <c r="L48" s="5">
        <v>41494</v>
      </c>
      <c r="M48" s="5">
        <v>42613</v>
      </c>
      <c r="N48" s="4">
        <f t="shared" si="5"/>
        <v>8</v>
      </c>
      <c r="O48" s="6">
        <f t="shared" si="6"/>
        <v>25.138888888888889</v>
      </c>
      <c r="P48" s="7">
        <f t="shared" si="7"/>
        <v>25</v>
      </c>
      <c r="Q48" s="6">
        <f t="shared" si="8"/>
        <v>28.202777777777779</v>
      </c>
      <c r="R48" s="7">
        <f t="shared" si="9"/>
        <v>28</v>
      </c>
      <c r="S48" s="7">
        <f t="shared" si="10"/>
        <v>3</v>
      </c>
      <c r="T48" s="3">
        <f t="shared" si="1"/>
        <v>30.7</v>
      </c>
      <c r="U48" s="16">
        <f t="shared" si="2"/>
        <v>0.99032258064516132</v>
      </c>
      <c r="V48" s="16">
        <f t="shared" si="21"/>
        <v>0.99032258064516132</v>
      </c>
      <c r="W48" s="13">
        <f>2887+237+112</f>
        <v>3236</v>
      </c>
      <c r="X48" s="13">
        <f t="shared" si="3"/>
        <v>3236</v>
      </c>
    </row>
    <row r="49" spans="2:24" ht="23.4" x14ac:dyDescent="0.3">
      <c r="B49" s="18">
        <f t="shared" si="4"/>
        <v>46</v>
      </c>
      <c r="C49" s="2" t="s">
        <v>104</v>
      </c>
      <c r="D49" s="2" t="s">
        <v>112</v>
      </c>
      <c r="E49" s="11">
        <v>0</v>
      </c>
      <c r="F49" s="3">
        <v>30.94</v>
      </c>
      <c r="G49" s="9" t="s">
        <v>96</v>
      </c>
      <c r="H49" s="9" t="s">
        <v>81</v>
      </c>
      <c r="I49" s="9" t="s">
        <v>12</v>
      </c>
      <c r="J49" s="9" t="s">
        <v>58</v>
      </c>
      <c r="K49" s="5">
        <v>36523</v>
      </c>
      <c r="L49" s="5" t="s">
        <v>106</v>
      </c>
      <c r="M49" s="5">
        <v>44046</v>
      </c>
      <c r="N49" s="4">
        <f t="shared" si="5"/>
        <v>8</v>
      </c>
      <c r="O49" s="6" t="str">
        <f t="shared" si="6"/>
        <v>Formado no Clube</v>
      </c>
      <c r="P49" s="7" t="str">
        <f t="shared" si="7"/>
        <v>Formado no Clube</v>
      </c>
      <c r="Q49" s="6">
        <f t="shared" si="8"/>
        <v>20.594444444444445</v>
      </c>
      <c r="R49" s="7">
        <f t="shared" si="9"/>
        <v>20</v>
      </c>
      <c r="S49" s="7" t="str">
        <f t="shared" si="10"/>
        <v>Formado no Clube</v>
      </c>
      <c r="T49" s="3">
        <f t="shared" si="1"/>
        <v>30.94</v>
      </c>
      <c r="U49" s="16">
        <f t="shared" si="2"/>
        <v>1</v>
      </c>
      <c r="V49" s="16" t="str">
        <f t="shared" si="21"/>
        <v>N.A.</v>
      </c>
      <c r="W49" s="13">
        <f>1608+301+23</f>
        <v>1932</v>
      </c>
      <c r="X49" s="13">
        <f t="shared" si="3"/>
        <v>1932</v>
      </c>
    </row>
    <row r="51" spans="2:24" x14ac:dyDescent="0.3">
      <c r="U51" s="17"/>
      <c r="V51" s="17"/>
    </row>
  </sheetData>
  <sheetProtection algorithmName="SHA-512" hashValue="YlkMBb0EdJugF/Cp8HNlm69UZ6Z2T6YotFeZypWHGyT01jAxDDD6QTlpPRmcw5W4ibdV8OFMcdw2AkQFiANZMQ==" saltValue="9PJrVRboktkKM+xmyqU63Q==" spinCount="100000" sheet="1" objects="1" scenarios="1"/>
  <autoFilter ref="B3:X49" xr:uid="{69DBA308-56EB-4C4E-BD07-F1690BE3052D}"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Vendas Acima de €30M Liga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2026-06-04T21:54:21Z</dcterms:created>
  <dcterms:modified xsi:type="dcterms:W3CDTF">2026-06-07T03:55:38Z</dcterms:modified>
</cp:coreProperties>
</file>